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u\Desktop\"/>
    </mc:Choice>
  </mc:AlternateContent>
  <xr:revisionPtr revIDLastSave="0" documentId="13_ncr:1_{08BE49E3-8B5B-443C-B4EA-351299B6B7F5}" xr6:coauthVersionLast="40" xr6:coauthVersionMax="40" xr10:uidLastSave="{00000000-0000-0000-0000-000000000000}"/>
  <bookViews>
    <workbookView xWindow="0" yWindow="0" windowWidth="28800" windowHeight="12165" tabRatio="500" xr2:uid="{00000000-000D-0000-FFFF-FFFF00000000}"/>
  </bookViews>
  <sheets>
    <sheet name="HHP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4" i="1" l="1"/>
  <c r="M7" i="1"/>
  <c r="M6" i="1"/>
  <c r="J95" i="1"/>
  <c r="J75" i="1"/>
  <c r="H75" i="1"/>
  <c r="G75" i="1"/>
  <c r="F75" i="1"/>
  <c r="D75" i="1"/>
  <c r="H92" i="1"/>
  <c r="H100" i="1" s="1"/>
  <c r="G92" i="1"/>
  <c r="F92" i="1"/>
  <c r="F100" i="1" s="1"/>
  <c r="D92" i="1"/>
  <c r="D100" i="1" s="1"/>
  <c r="C75" i="1"/>
  <c r="J31" i="1"/>
  <c r="K31" i="1" s="1"/>
  <c r="H34" i="1"/>
  <c r="H31" i="1" s="1"/>
  <c r="F31" i="1"/>
  <c r="D31" i="1"/>
  <c r="C31" i="1"/>
  <c r="J59" i="1"/>
  <c r="J55" i="1"/>
  <c r="J94" i="1"/>
  <c r="J7" i="1"/>
  <c r="F94" i="1"/>
  <c r="Q9" i="1"/>
  <c r="Q10" i="1" s="1"/>
  <c r="J57" i="1"/>
  <c r="J79" i="1"/>
  <c r="M17" i="1"/>
  <c r="J88" i="1"/>
  <c r="J39" i="1"/>
  <c r="J38" i="1"/>
  <c r="C113" i="1" s="1"/>
  <c r="Q19" i="1"/>
  <c r="Q18" i="1"/>
  <c r="Q17" i="1"/>
  <c r="Q16" i="1"/>
  <c r="Q15" i="1"/>
  <c r="Q13" i="1"/>
  <c r="P19" i="1"/>
  <c r="O19" i="1"/>
  <c r="N19" i="1"/>
  <c r="M19" i="1"/>
  <c r="P18" i="1"/>
  <c r="O18" i="1"/>
  <c r="N18" i="1"/>
  <c r="M18" i="1"/>
  <c r="P17" i="1"/>
  <c r="O17" i="1"/>
  <c r="N17" i="1"/>
  <c r="P16" i="1"/>
  <c r="O16" i="1"/>
  <c r="N16" i="1"/>
  <c r="M16" i="1"/>
  <c r="P15" i="1"/>
  <c r="O15" i="1"/>
  <c r="N15" i="1"/>
  <c r="M15" i="1"/>
  <c r="J20" i="1"/>
  <c r="J21" i="1"/>
  <c r="J41" i="1"/>
  <c r="G34" i="1" l="1"/>
  <c r="G31" i="1" s="1"/>
  <c r="C112" i="1"/>
  <c r="J37" i="1"/>
  <c r="J54" i="1"/>
  <c r="J92" i="1" s="1"/>
  <c r="J15" i="1"/>
  <c r="H8" i="1"/>
  <c r="J100" i="1" l="1"/>
  <c r="K92" i="1"/>
  <c r="H112" i="1"/>
  <c r="C114" i="1"/>
  <c r="H42" i="1"/>
  <c r="H25" i="1"/>
  <c r="G20" i="1" l="1"/>
  <c r="F8" i="1"/>
  <c r="D8" i="1"/>
  <c r="C12" i="1"/>
  <c r="C8" i="1" s="1"/>
  <c r="H81" i="1"/>
  <c r="H76" i="1" l="1"/>
  <c r="H23" i="1"/>
  <c r="H96" i="1"/>
  <c r="H94" i="1" s="1"/>
  <c r="H54" i="1"/>
  <c r="H41" i="1"/>
  <c r="J28" i="1" l="1"/>
  <c r="H37" i="1"/>
  <c r="D96" i="1"/>
  <c r="D85" i="1"/>
  <c r="D81" i="1"/>
  <c r="D59" i="1"/>
  <c r="D54" i="1" s="1"/>
  <c r="G54" i="1"/>
  <c r="F54" i="1"/>
  <c r="C54" i="1"/>
  <c r="G41" i="1"/>
  <c r="F41" i="1"/>
  <c r="D41" i="1"/>
  <c r="C41" i="1"/>
  <c r="G38" i="1"/>
  <c r="G37" i="1" s="1"/>
  <c r="F37" i="1"/>
  <c r="D37" i="1"/>
  <c r="C37" i="1"/>
  <c r="D25" i="1"/>
  <c r="H15" i="1"/>
  <c r="H28" i="1" s="1"/>
  <c r="G15" i="1"/>
  <c r="F15" i="1"/>
  <c r="D15" i="1"/>
  <c r="C15" i="1"/>
  <c r="D7" i="1"/>
  <c r="F7" i="1"/>
  <c r="C7" i="1"/>
  <c r="C92" i="1" l="1"/>
  <c r="C100" i="1" s="1"/>
  <c r="K75" i="1"/>
  <c r="K57" i="1"/>
  <c r="K59" i="1"/>
  <c r="K55" i="1"/>
  <c r="K41" i="1"/>
  <c r="K54" i="1"/>
  <c r="K94" i="1"/>
  <c r="D94" i="1"/>
  <c r="G8" i="1" s="1"/>
  <c r="G7" i="1" s="1"/>
  <c r="G28" i="1" s="1"/>
  <c r="K37" i="1"/>
  <c r="C28" i="1"/>
  <c r="D28" i="1"/>
  <c r="F28" i="1"/>
  <c r="H101" i="1"/>
  <c r="F101" i="1" l="1"/>
  <c r="G95" i="1"/>
  <c r="G94" i="1" s="1"/>
  <c r="D101" i="1"/>
  <c r="J101" i="1"/>
  <c r="M2" i="1" s="1"/>
  <c r="C101" i="1"/>
  <c r="G100" i="1" l="1"/>
  <c r="G101" i="1" s="1"/>
</calcChain>
</file>

<file path=xl/sharedStrings.xml><?xml version="1.0" encoding="utf-8"?>
<sst xmlns="http://schemas.openxmlformats.org/spreadsheetml/2006/main" count="135" uniqueCount="122">
  <si>
    <t>Nachtragshaushalt I 2018 des Studierenderates der OvGU Magdeburg</t>
  </si>
  <si>
    <t>Ansätze</t>
  </si>
  <si>
    <t xml:space="preserve">Ist  </t>
  </si>
  <si>
    <t xml:space="preserve">Ist   </t>
  </si>
  <si>
    <t>NNHP-3</t>
  </si>
  <si>
    <t xml:space="preserve">HHP </t>
  </si>
  <si>
    <t>NHHP-1</t>
  </si>
  <si>
    <t>Einnahmen</t>
  </si>
  <si>
    <t>Startkapital</t>
  </si>
  <si>
    <t>+ auf Bank verwahrtes Fremdkapital</t>
  </si>
  <si>
    <t>Zinsen</t>
  </si>
  <si>
    <t>Landeszuschüsse</t>
  </si>
  <si>
    <t>Semesterbeiträge</t>
  </si>
  <si>
    <t>SoSe 2017</t>
  </si>
  <si>
    <t>SoSe 2018</t>
  </si>
  <si>
    <t>WiSe 2017/18</t>
  </si>
  <si>
    <t>WiSe 2018/19</t>
  </si>
  <si>
    <t>Sozialdarlehen</t>
  </si>
  <si>
    <t>Sonstige Einnahmen</t>
  </si>
  <si>
    <t>Ausgaben</t>
  </si>
  <si>
    <t>Fachschaften</t>
  </si>
  <si>
    <t>Sommersemester</t>
  </si>
  <si>
    <t>Wintersemester</t>
  </si>
  <si>
    <t>Referate</t>
  </si>
  <si>
    <t>Unifilmteam</t>
  </si>
  <si>
    <t>Kulturreferat</t>
  </si>
  <si>
    <t>Dyke &amp; Gay</t>
  </si>
  <si>
    <t>Uni.versum</t>
  </si>
  <si>
    <t>Referat für internationale Angelegenheiten</t>
  </si>
  <si>
    <t>Nigthline</t>
  </si>
  <si>
    <t>Bündnis Studierende gegen Rechts</t>
  </si>
  <si>
    <t>Sportreferat</t>
  </si>
  <si>
    <t>Feministisches Referat</t>
  </si>
  <si>
    <t>Personalkosten</t>
  </si>
  <si>
    <t>Inventar</t>
  </si>
  <si>
    <t>Bürobedarf</t>
  </si>
  <si>
    <t>Bücher/Zeitschriften</t>
  </si>
  <si>
    <t>Kontoführung</t>
  </si>
  <si>
    <t>Webserver und Domain</t>
  </si>
  <si>
    <t>Öffentlichkeitsarbeit</t>
  </si>
  <si>
    <t>Reisekosten Intern</t>
  </si>
  <si>
    <t>Klausurtagung</t>
  </si>
  <si>
    <t>Mieten</t>
  </si>
  <si>
    <t>Selbstversichung Stura</t>
  </si>
  <si>
    <t>Sonstiges Intern</t>
  </si>
  <si>
    <t>Tagungsausgaben</t>
  </si>
  <si>
    <t>Kultur &amp; Soziales</t>
  </si>
  <si>
    <t>Seminare</t>
  </si>
  <si>
    <t>Erstsemesterinformationen</t>
  </si>
  <si>
    <t>Preis Studierendenschaft</t>
  </si>
  <si>
    <t>Sonderausgaben Stura-Großprojekt</t>
  </si>
  <si>
    <t>Projektförderung</t>
  </si>
  <si>
    <t>1. Halbjahr</t>
  </si>
  <si>
    <t>2. Halbjahr</t>
  </si>
  <si>
    <t>Mitgliedsbeiträge</t>
  </si>
  <si>
    <t>Sonstiges</t>
  </si>
  <si>
    <r>
      <rPr>
        <b/>
        <i/>
        <sz val="12"/>
        <color rgb="FF000000"/>
        <rFont val="Calibri"/>
        <family val="2"/>
        <charset val="1"/>
      </rPr>
      <t xml:space="preserve">Jahresergebnis </t>
    </r>
    <r>
      <rPr>
        <b/>
        <i/>
        <sz val="8"/>
        <color rgb="FF000000"/>
        <rFont val="Calibri"/>
        <family val="2"/>
        <charset val="1"/>
      </rPr>
      <t>(Rücklagen/Bestand Banken)</t>
    </r>
  </si>
  <si>
    <t>Rücklagen</t>
  </si>
  <si>
    <t>Differenz Einnahmen/Ausgaben</t>
  </si>
  <si>
    <t>Bankkonto</t>
  </si>
  <si>
    <t>Geldmarktkonto</t>
  </si>
  <si>
    <t>Projekte des STURA</t>
  </si>
  <si>
    <t>Bankkonto Vorjahr</t>
  </si>
  <si>
    <t>Geldmarktkonto Vorjahr</t>
  </si>
  <si>
    <t>Rechts- und Gerichtskosten</t>
  </si>
  <si>
    <t>Hochschulpolitisches Referat</t>
  </si>
  <si>
    <t>Semesterbeitrag</t>
  </si>
  <si>
    <t>Studis SO</t>
  </si>
  <si>
    <t>Studis WS</t>
  </si>
  <si>
    <t>Prozent</t>
  </si>
  <si>
    <t>Einnahmen und Startkapital</t>
  </si>
  <si>
    <t>Aufwandsentschädigungen</t>
  </si>
  <si>
    <t>SoSe 2019</t>
  </si>
  <si>
    <t>WiSe 2019/20</t>
  </si>
  <si>
    <t xml:space="preserve">Vorschlag: </t>
  </si>
  <si>
    <t>Alle angestellten pauschal bezahlen (400-450€)</t>
  </si>
  <si>
    <t>Vierten Angestellten für Finanzen, dann können diese beiden den Fachschaften helfen und besseres Wissensmanagement</t>
  </si>
  <si>
    <t xml:space="preserve">FSJler </t>
  </si>
  <si>
    <t>Semesterbeiträge erhöhen</t>
  </si>
  <si>
    <t>Semesterbeitragsanteile verändern</t>
  </si>
  <si>
    <t>Das gesamte Geld auf dem Konto zum Jahreswechsel</t>
  </si>
  <si>
    <t>Geld der KSSA Sachsen-Anhalt</t>
  </si>
  <si>
    <t>Geld auf dem Geldmarktkonto zum Jahreswechsel</t>
  </si>
  <si>
    <t>Zinsen die durch das Geld auf den Konten eingenommen werden, bei der aktuellen Finanzlage keine</t>
  </si>
  <si>
    <t>Landeszuschüsse die Zweckgebunden beim Land beantragt werden</t>
  </si>
  <si>
    <t>Semesterbeiträge der Studierenden zu den jeweiligen Semestern</t>
  </si>
  <si>
    <t>Rückzahlungen der Sozialdarlehen</t>
  </si>
  <si>
    <t>Einnahmen die unter keinen der anderen Punkte fallen</t>
  </si>
  <si>
    <t>Noch auszuzahlende Semesterbeiträge SoSe 2018 und WiSe 2018/19</t>
  </si>
  <si>
    <t>Laufende Einnahmen</t>
  </si>
  <si>
    <t>Landeszuschüsse + Semesterbeiträge</t>
  </si>
  <si>
    <t>Garantierte Ausgaben</t>
  </si>
  <si>
    <t>Beitrag/Anteil</t>
  </si>
  <si>
    <t>Berechnung € pro Studi an Fachschaften</t>
  </si>
  <si>
    <t xml:space="preserve">Derzeit: </t>
  </si>
  <si>
    <t>Beitrag</t>
  </si>
  <si>
    <t>Studizahlen</t>
  </si>
  <si>
    <t>Geschätzt 2019</t>
  </si>
  <si>
    <t>Anwaltskosten</t>
  </si>
  <si>
    <t>Vorstandsentschädigung</t>
  </si>
  <si>
    <t>Erhöhung der Gelder für Faras:</t>
  </si>
  <si>
    <t>Prozentuale Erhöhung:</t>
  </si>
  <si>
    <t>Sitzungsverpflegung ersetzen durch Entschädigung</t>
  </si>
  <si>
    <t>Die Referate wurden an die zu erwartenden Bedürfnisse angepasst</t>
  </si>
  <si>
    <t>Die Personalkosten für die Angestellten, FSJler ab der zweiten Jahreshälfte und Sozialabgaben</t>
  </si>
  <si>
    <t>Der bisher als Sprecher*Innenentschädigung bekannte Topf</t>
  </si>
  <si>
    <t>Anstelle der Sitzungsverpflegung</t>
  </si>
  <si>
    <t>Zu ersetzendes Inventar wie Ausleihzubehör, Tresor, PC(s), Zubehör, NAS, Kühlschrank</t>
  </si>
  <si>
    <t>Verbindlichkeiten</t>
  </si>
  <si>
    <t>Verbindlichkeiten gegenüber Fachschaften</t>
  </si>
  <si>
    <t>Verbindlichkeiten Mitgliedsbeiträge im Vorjahr</t>
  </si>
  <si>
    <t>Verbindlichkeiten gegenüber Projekten aus dem Vorjahr</t>
  </si>
  <si>
    <t>Verwaltungskosten</t>
  </si>
  <si>
    <t>Für Anwaltliche Sprechstunden für Studis (2x2h im Monat) und Beratung für Faras sowie Stura</t>
  </si>
  <si>
    <t>Prozesse des Sturas gegen Dritte</t>
  </si>
  <si>
    <t>Prozentualer Anteil</t>
  </si>
  <si>
    <t>Fachschaften + Personalkosten + Webserver + Miete + Preis der Studierendenschaft + Mitgliedsbeiträge + Anwaltskosten + Haus der Studierendenschaft</t>
  </si>
  <si>
    <t>Rückstellungen Haus der Studierendenschaft</t>
  </si>
  <si>
    <t>Variabel planbare Einnahmen (ohne Startkapital)</t>
  </si>
  <si>
    <t>Anteil am verfügbarem Kapital</t>
  </si>
  <si>
    <t>Gesamte Ausgaben</t>
  </si>
  <si>
    <t>Ausgaben und Jahresendstand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</si>
</sst>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* #,##0.00&quot; € &quot;;\-* #,##0.00&quot; € &quot;;* \-#&quot; € &quot;;@\ "/>
    <numFmt numFmtId="165" formatCode="#,##0.00\ [$€-407];[Red]\-#,##0.00\ [$€-407]"/>
    <numFmt numFmtId="166" formatCode="* #,##0.00\ [$€-407]\ ;\-* #,##0.00\ [$€-407]\ ;* \-#\ [$€-407]\ ;@\ "/>
    <numFmt numFmtId="171" formatCode="_-* #,##0\ _€_-;\-* #,##0\ _€_-;_-* &quot;-&quot;??\ _€_-;_-@_-"/>
  </numFmts>
  <fonts count="2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u/>
      <sz val="12"/>
      <color rgb="FF0066CC"/>
      <name val="Calibri"/>
      <family val="2"/>
      <charset val="1"/>
    </font>
    <font>
      <b/>
      <sz val="12"/>
      <color rgb="FF0066CC"/>
      <name val="Calibri"/>
      <family val="2"/>
      <charset val="1"/>
    </font>
    <font>
      <b/>
      <sz val="12"/>
      <color rgb="FF3366FF"/>
      <name val="Calibri"/>
      <family val="2"/>
      <charset val="1"/>
    </font>
    <font>
      <sz val="12"/>
      <color rgb="FF000000"/>
      <name val="Calibri"/>
      <family val="2"/>
    </font>
    <font>
      <b/>
      <i/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12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b/>
      <sz val="13"/>
      <color rgb="FF0066CC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DDDDDD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164" fontId="21" fillId="0" borderId="0" applyBorder="0" applyProtection="0"/>
    <xf numFmtId="164" fontId="21" fillId="0" borderId="0" applyBorder="0" applyProtection="0"/>
    <xf numFmtId="9" fontId="21" fillId="0" borderId="0" applyFont="0" applyFill="0" applyBorder="0" applyAlignment="0" applyProtection="0"/>
    <xf numFmtId="0" fontId="22" fillId="6" borderId="18" applyNumberFormat="0" applyAlignment="0" applyProtection="0"/>
    <xf numFmtId="0" fontId="23" fillId="7" borderId="19" applyNumberFormat="0" applyAlignment="0" applyProtection="0"/>
    <xf numFmtId="0" fontId="2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7" fillId="0" borderId="0" xfId="0" applyFont="1"/>
    <xf numFmtId="0" fontId="7" fillId="3" borderId="4" xfId="0" applyFont="1" applyFill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4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/>
    <xf numFmtId="0" fontId="10" fillId="4" borderId="0" xfId="0" applyFont="1" applyFill="1"/>
    <xf numFmtId="164" fontId="7" fillId="4" borderId="0" xfId="0" applyNumberFormat="1" applyFont="1" applyFill="1"/>
    <xf numFmtId="164" fontId="9" fillId="3" borderId="7" xfId="2" applyFont="1" applyFill="1" applyBorder="1" applyAlignment="1" applyProtection="1">
      <alignment vertical="top"/>
    </xf>
    <xf numFmtId="164" fontId="9" fillId="0" borderId="8" xfId="2" applyFont="1" applyBorder="1" applyAlignment="1" applyProtection="1">
      <alignment vertical="top"/>
    </xf>
    <xf numFmtId="164" fontId="6" fillId="0" borderId="0" xfId="1" applyFont="1" applyBorder="1" applyAlignment="1" applyProtection="1">
      <alignment vertical="top"/>
    </xf>
    <xf numFmtId="164" fontId="6" fillId="0" borderId="7" xfId="1" applyFont="1" applyBorder="1" applyAlignment="1" applyProtection="1">
      <alignment vertical="top"/>
    </xf>
    <xf numFmtId="164" fontId="6" fillId="3" borderId="0" xfId="1" applyFont="1" applyFill="1" applyBorder="1" applyAlignment="1" applyProtection="1">
      <alignment vertical="top"/>
    </xf>
    <xf numFmtId="164" fontId="6" fillId="0" borderId="8" xfId="1" applyFont="1" applyBorder="1" applyAlignment="1" applyProtection="1">
      <alignment vertical="top"/>
    </xf>
    <xf numFmtId="0" fontId="6" fillId="0" borderId="0" xfId="0" applyFont="1" applyAlignment="1">
      <alignment horizontal="left"/>
    </xf>
    <xf numFmtId="164" fontId="6" fillId="3" borderId="9" xfId="2" applyFont="1" applyFill="1" applyBorder="1" applyAlignment="1" applyProtection="1"/>
    <xf numFmtId="164" fontId="6" fillId="0" borderId="10" xfId="2" applyFont="1" applyBorder="1" applyAlignment="1" applyProtection="1"/>
    <xf numFmtId="164" fontId="6" fillId="0" borderId="0" xfId="1" applyFont="1" applyBorder="1" applyAlignment="1" applyProtection="1"/>
    <xf numFmtId="164" fontId="6" fillId="0" borderId="9" xfId="1" applyFont="1" applyBorder="1" applyAlignment="1" applyProtection="1"/>
    <xf numFmtId="164" fontId="6" fillId="3" borderId="11" xfId="1" applyFont="1" applyFill="1" applyBorder="1" applyAlignment="1" applyProtection="1"/>
    <xf numFmtId="164" fontId="6" fillId="0" borderId="10" xfId="1" applyFont="1" applyBorder="1" applyAlignment="1" applyProtection="1"/>
    <xf numFmtId="164" fontId="9" fillId="3" borderId="0" xfId="0" applyNumberFormat="1" applyFont="1" applyFill="1" applyBorder="1"/>
    <xf numFmtId="164" fontId="6" fillId="0" borderId="0" xfId="0" applyNumberFormat="1" applyFont="1" applyBorder="1"/>
    <xf numFmtId="164" fontId="10" fillId="4" borderId="0" xfId="0" applyNumberFormat="1" applyFont="1" applyFill="1"/>
    <xf numFmtId="164" fontId="0" fillId="0" borderId="0" xfId="1" applyFont="1" applyBorder="1" applyAlignment="1" applyProtection="1"/>
    <xf numFmtId="164" fontId="9" fillId="3" borderId="7" xfId="0" applyNumberFormat="1" applyFont="1" applyFill="1" applyBorder="1"/>
    <xf numFmtId="164" fontId="6" fillId="0" borderId="8" xfId="0" applyNumberFormat="1" applyFont="1" applyBorder="1"/>
    <xf numFmtId="164" fontId="6" fillId="0" borderId="7" xfId="1" applyFont="1" applyBorder="1" applyAlignment="1" applyProtection="1"/>
    <xf numFmtId="164" fontId="6" fillId="3" borderId="0" xfId="1" applyFont="1" applyFill="1" applyBorder="1" applyAlignment="1" applyProtection="1"/>
    <xf numFmtId="164" fontId="6" fillId="0" borderId="8" xfId="1" applyFont="1" applyBorder="1" applyAlignment="1" applyProtection="1"/>
    <xf numFmtId="164" fontId="9" fillId="3" borderId="7" xfId="2" applyFont="1" applyFill="1" applyBorder="1" applyAlignment="1" applyProtection="1"/>
    <xf numFmtId="165" fontId="6" fillId="3" borderId="7" xfId="0" applyNumberFormat="1" applyFont="1" applyFill="1" applyBorder="1" applyAlignment="1" applyProtection="1"/>
    <xf numFmtId="164" fontId="6" fillId="3" borderId="7" xfId="2" applyFont="1" applyFill="1" applyBorder="1" applyAlignment="1" applyProtection="1"/>
    <xf numFmtId="0" fontId="6" fillId="0" borderId="0" xfId="0" applyFont="1" applyAlignment="1">
      <alignment vertical="top"/>
    </xf>
    <xf numFmtId="164" fontId="9" fillId="3" borderId="9" xfId="2" applyFont="1" applyFill="1" applyBorder="1" applyAlignment="1" applyProtection="1"/>
    <xf numFmtId="164" fontId="6" fillId="0" borderId="10" xfId="0" applyNumberFormat="1" applyFont="1" applyBorder="1"/>
    <xf numFmtId="0" fontId="0" fillId="0" borderId="0" xfId="0" applyAlignment="1">
      <alignment vertical="top"/>
    </xf>
    <xf numFmtId="164" fontId="9" fillId="3" borderId="12" xfId="0" applyNumberFormat="1" applyFont="1" applyFill="1" applyBorder="1"/>
    <xf numFmtId="164" fontId="6" fillId="0" borderId="12" xfId="0" applyNumberFormat="1" applyFont="1" applyBorder="1"/>
    <xf numFmtId="0" fontId="11" fillId="4" borderId="0" xfId="0" applyFont="1" applyFill="1"/>
    <xf numFmtId="0" fontId="12" fillId="4" borderId="0" xfId="0" applyFont="1" applyFill="1"/>
    <xf numFmtId="164" fontId="13" fillId="4" borderId="9" xfId="2" applyFont="1" applyFill="1" applyBorder="1" applyAlignment="1" applyProtection="1"/>
    <xf numFmtId="164" fontId="13" fillId="4" borderId="10" xfId="2" applyFont="1" applyFill="1" applyBorder="1" applyAlignment="1" applyProtection="1"/>
    <xf numFmtId="164" fontId="12" fillId="4" borderId="0" xfId="1" applyFont="1" applyFill="1" applyBorder="1" applyAlignment="1" applyProtection="1"/>
    <xf numFmtId="164" fontId="12" fillId="4" borderId="13" xfId="1" applyFont="1" applyFill="1" applyBorder="1" applyAlignment="1" applyProtection="1"/>
    <xf numFmtId="164" fontId="12" fillId="4" borderId="12" xfId="1" applyFont="1" applyFill="1" applyBorder="1" applyAlignment="1" applyProtection="1"/>
    <xf numFmtId="164" fontId="13" fillId="4" borderId="14" xfId="2" applyFont="1" applyFill="1" applyBorder="1" applyAlignment="1" applyProtection="1"/>
    <xf numFmtId="0" fontId="6" fillId="0" borderId="0" xfId="0" applyFont="1" applyBorder="1" applyAlignment="1" applyProtection="1"/>
    <xf numFmtId="165" fontId="0" fillId="0" borderId="0" xfId="0" applyNumberFormat="1"/>
    <xf numFmtId="165" fontId="0" fillId="0" borderId="0" xfId="0" applyNumberFormat="1" applyFont="1"/>
    <xf numFmtId="0" fontId="0" fillId="0" borderId="0" xfId="0" applyFont="1"/>
    <xf numFmtId="0" fontId="6" fillId="4" borderId="0" xfId="0" applyFont="1" applyFill="1"/>
    <xf numFmtId="164" fontId="7" fillId="4" borderId="0" xfId="1" applyFont="1" applyFill="1" applyBorder="1" applyAlignment="1" applyProtection="1"/>
    <xf numFmtId="165" fontId="9" fillId="3" borderId="9" xfId="2" applyNumberFormat="1" applyFont="1" applyFill="1" applyBorder="1" applyAlignment="1" applyProtection="1"/>
    <xf numFmtId="165" fontId="6" fillId="0" borderId="10" xfId="0" applyNumberFormat="1" applyFont="1" applyBorder="1"/>
    <xf numFmtId="165" fontId="6" fillId="0" borderId="0" xfId="1" applyNumberFormat="1" applyFont="1" applyBorder="1" applyAlignment="1" applyProtection="1"/>
    <xf numFmtId="165" fontId="9" fillId="3" borderId="0" xfId="0" applyNumberFormat="1" applyFont="1" applyFill="1" applyBorder="1"/>
    <xf numFmtId="165" fontId="6" fillId="0" borderId="0" xfId="0" applyNumberFormat="1" applyFont="1" applyBorder="1" applyAlignment="1" applyProtection="1"/>
    <xf numFmtId="165" fontId="7" fillId="4" borderId="0" xfId="1" applyNumberFormat="1" applyFont="1" applyFill="1" applyBorder="1" applyAlignment="1" applyProtection="1"/>
    <xf numFmtId="165" fontId="9" fillId="3" borderId="7" xfId="2" applyNumberFormat="1" applyFont="1" applyFill="1" applyBorder="1" applyAlignment="1" applyProtection="1"/>
    <xf numFmtId="165" fontId="6" fillId="0" borderId="8" xfId="2" applyNumberFormat="1" applyFont="1" applyBorder="1" applyAlignment="1" applyProtection="1"/>
    <xf numFmtId="165" fontId="14" fillId="0" borderId="8" xfId="2" applyNumberFormat="1" applyFont="1" applyBorder="1" applyAlignment="1" applyProtection="1"/>
    <xf numFmtId="165" fontId="9" fillId="3" borderId="9" xfId="0" applyNumberFormat="1" applyFont="1" applyFill="1" applyBorder="1"/>
    <xf numFmtId="165" fontId="6" fillId="0" borderId="10" xfId="2" applyNumberFormat="1" applyFont="1" applyBorder="1" applyAlignment="1" applyProtection="1"/>
    <xf numFmtId="0" fontId="10" fillId="4" borderId="0" xfId="0" applyFont="1" applyFill="1" applyBorder="1"/>
    <xf numFmtId="165" fontId="6" fillId="0" borderId="8" xfId="0" applyNumberFormat="1" applyFont="1" applyBorder="1"/>
    <xf numFmtId="165" fontId="9" fillId="3" borderId="7" xfId="0" applyNumberFormat="1" applyFont="1" applyFill="1" applyBorder="1"/>
    <xf numFmtId="164" fontId="0" fillId="0" borderId="0" xfId="1" applyFont="1" applyBorder="1" applyAlignment="1" applyProtection="1">
      <alignment wrapText="1"/>
    </xf>
    <xf numFmtId="165" fontId="6" fillId="3" borderId="7" xfId="2" applyNumberFormat="1" applyFont="1" applyFill="1" applyBorder="1" applyAlignment="1" applyProtection="1"/>
    <xf numFmtId="165" fontId="6" fillId="0" borderId="10" xfId="0" applyNumberFormat="1" applyFont="1" applyBorder="1" applyAlignment="1" applyProtection="1"/>
    <xf numFmtId="165" fontId="6" fillId="0" borderId="0" xfId="0" applyNumberFormat="1" applyFont="1" applyBorder="1"/>
    <xf numFmtId="166" fontId="6" fillId="0" borderId="8" xfId="0" applyNumberFormat="1" applyFont="1" applyBorder="1" applyAlignment="1" applyProtection="1">
      <alignment horizontal="right"/>
    </xf>
    <xf numFmtId="164" fontId="15" fillId="0" borderId="0" xfId="0" applyNumberFormat="1" applyFont="1"/>
    <xf numFmtId="14" fontId="16" fillId="0" borderId="0" xfId="1" applyNumberFormat="1" applyFont="1" applyBorder="1" applyAlignment="1" applyProtection="1"/>
    <xf numFmtId="0" fontId="12" fillId="0" borderId="0" xfId="0" applyFont="1"/>
    <xf numFmtId="164" fontId="13" fillId="4" borderId="13" xfId="2" applyFont="1" applyFill="1" applyBorder="1" applyAlignment="1" applyProtection="1"/>
    <xf numFmtId="0" fontId="17" fillId="0" borderId="0" xfId="0" applyFont="1"/>
    <xf numFmtId="164" fontId="6" fillId="0" borderId="0" xfId="2" applyFont="1" applyBorder="1" applyAlignment="1" applyProtection="1"/>
    <xf numFmtId="165" fontId="18" fillId="4" borderId="0" xfId="1" applyNumberFormat="1" applyFont="1" applyFill="1" applyBorder="1" applyAlignment="1" applyProtection="1"/>
    <xf numFmtId="164" fontId="9" fillId="5" borderId="8" xfId="0" applyNumberFormat="1" applyFont="1" applyFill="1" applyBorder="1"/>
    <xf numFmtId="164" fontId="9" fillId="3" borderId="0" xfId="0" applyNumberFormat="1" applyFont="1" applyFill="1"/>
    <xf numFmtId="164" fontId="20" fillId="0" borderId="0" xfId="1" applyFont="1" applyBorder="1" applyAlignment="1" applyProtection="1"/>
    <xf numFmtId="0" fontId="20" fillId="0" borderId="0" xfId="0" applyFont="1"/>
    <xf numFmtId="3" fontId="9" fillId="5" borderId="7" xfId="0" applyNumberFormat="1" applyFont="1" applyFill="1" applyBorder="1"/>
    <xf numFmtId="164" fontId="9" fillId="0" borderId="8" xfId="0" applyNumberFormat="1" applyFont="1" applyBorder="1"/>
    <xf numFmtId="164" fontId="6" fillId="5" borderId="7" xfId="1" applyFont="1" applyFill="1" applyBorder="1" applyAlignment="1" applyProtection="1"/>
    <xf numFmtId="164" fontId="9" fillId="5" borderId="0" xfId="0" applyNumberFormat="1" applyFont="1" applyFill="1"/>
    <xf numFmtId="164" fontId="6" fillId="0" borderId="8" xfId="2" applyFont="1" applyBorder="1" applyAlignment="1" applyProtection="1"/>
    <xf numFmtId="164" fontId="6" fillId="5" borderId="7" xfId="0" applyNumberFormat="1" applyFont="1" applyFill="1" applyBorder="1"/>
    <xf numFmtId="3" fontId="9" fillId="5" borderId="9" xfId="0" applyNumberFormat="1" applyFont="1" applyFill="1" applyBorder="1"/>
    <xf numFmtId="164" fontId="6" fillId="0" borderId="10" xfId="0" applyNumberFormat="1" applyFont="1" applyBorder="1"/>
    <xf numFmtId="164" fontId="6" fillId="5" borderId="9" xfId="1" applyFont="1" applyFill="1" applyBorder="1" applyAlignment="1" applyProtection="1"/>
    <xf numFmtId="164" fontId="9" fillId="5" borderId="11" xfId="0" applyNumberFormat="1" applyFont="1" applyFill="1" applyBorder="1"/>
    <xf numFmtId="0" fontId="6" fillId="0" borderId="0" xfId="0" applyFont="1" applyAlignment="1">
      <alignment horizontal="right"/>
    </xf>
    <xf numFmtId="0" fontId="7" fillId="4" borderId="0" xfId="0" applyFont="1" applyFill="1" applyAlignment="1">
      <alignment horizontal="left"/>
    </xf>
    <xf numFmtId="164" fontId="7" fillId="4" borderId="13" xfId="1" applyFont="1" applyFill="1" applyBorder="1" applyAlignment="1" applyProtection="1"/>
    <xf numFmtId="0" fontId="6" fillId="0" borderId="0" xfId="0" applyFont="1" applyAlignment="1">
      <alignment horizontal="left" vertical="center" wrapText="1"/>
    </xf>
    <xf numFmtId="164" fontId="7" fillId="4" borderId="15" xfId="1" applyFont="1" applyFill="1" applyBorder="1" applyAlignment="1" applyProtection="1"/>
    <xf numFmtId="164" fontId="7" fillId="4" borderId="17" xfId="1" applyFont="1" applyFill="1" applyBorder="1" applyAlignment="1" applyProtection="1"/>
    <xf numFmtId="164" fontId="7" fillId="4" borderId="16" xfId="1" applyFont="1" applyFill="1" applyBorder="1" applyAlignment="1" applyProtection="1"/>
    <xf numFmtId="164" fontId="7" fillId="4" borderId="15" xfId="0" applyNumberFormat="1" applyFont="1" applyFill="1" applyBorder="1" applyAlignment="1">
      <alignment horizontal="right"/>
    </xf>
    <xf numFmtId="164" fontId="7" fillId="4" borderId="16" xfId="0" applyNumberFormat="1" applyFont="1" applyFill="1" applyBorder="1" applyAlignment="1">
      <alignment horizontal="right"/>
    </xf>
    <xf numFmtId="164" fontId="7" fillId="4" borderId="17" xfId="0" applyNumberFormat="1" applyFont="1" applyFill="1" applyBorder="1" applyAlignment="1">
      <alignment horizontal="right"/>
    </xf>
    <xf numFmtId="164" fontId="7" fillId="4" borderId="16" xfId="0" applyNumberFormat="1" applyFont="1" applyFill="1" applyBorder="1"/>
    <xf numFmtId="164" fontId="7" fillId="4" borderId="15" xfId="0" applyNumberFormat="1" applyFont="1" applyFill="1" applyBorder="1"/>
    <xf numFmtId="164" fontId="7" fillId="4" borderId="17" xfId="0" applyNumberFormat="1" applyFont="1" applyFill="1" applyBorder="1"/>
    <xf numFmtId="164" fontId="8" fillId="4" borderId="15" xfId="0" applyNumberFormat="1" applyFont="1" applyFill="1" applyBorder="1"/>
    <xf numFmtId="164" fontId="8" fillId="4" borderId="16" xfId="0" applyNumberFormat="1" applyFont="1" applyFill="1" applyBorder="1"/>
    <xf numFmtId="165" fontId="7" fillId="4" borderId="16" xfId="2" applyNumberFormat="1" applyFont="1" applyFill="1" applyBorder="1" applyAlignment="1" applyProtection="1"/>
    <xf numFmtId="165" fontId="7" fillId="4" borderId="15" xfId="1" applyNumberFormat="1" applyFont="1" applyFill="1" applyBorder="1" applyAlignment="1" applyProtection="1"/>
    <xf numFmtId="165" fontId="7" fillId="4" borderId="15" xfId="0" applyNumberFormat="1" applyFont="1" applyFill="1" applyBorder="1"/>
    <xf numFmtId="165" fontId="7" fillId="4" borderId="16" xfId="0" applyNumberFormat="1" applyFont="1" applyFill="1" applyBorder="1" applyAlignment="1" applyProtection="1"/>
    <xf numFmtId="164" fontId="18" fillId="4" borderId="16" xfId="1" applyFont="1" applyFill="1" applyBorder="1" applyAlignment="1" applyProtection="1"/>
    <xf numFmtId="165" fontId="7" fillId="4" borderId="17" xfId="1" applyNumberFormat="1" applyFont="1" applyFill="1" applyBorder="1" applyAlignment="1" applyProtection="1"/>
    <xf numFmtId="165" fontId="7" fillId="4" borderId="15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3" fontId="0" fillId="0" borderId="0" xfId="0" applyNumberFormat="1"/>
    <xf numFmtId="164" fontId="21" fillId="0" borderId="0" xfId="1"/>
    <xf numFmtId="164" fontId="0" fillId="0" borderId="0" xfId="1" applyFont="1" applyFill="1" applyBorder="1" applyAlignment="1" applyProtection="1"/>
    <xf numFmtId="9" fontId="0" fillId="0" borderId="0" xfId="3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0" fillId="0" borderId="0" xfId="0" applyNumberFormat="1" applyAlignment="1">
      <alignment vertical="top"/>
    </xf>
    <xf numFmtId="0" fontId="0" fillId="0" borderId="1" xfId="0" applyBorder="1"/>
    <xf numFmtId="9" fontId="0" fillId="0" borderId="1" xfId="0" applyNumberFormat="1" applyBorder="1"/>
    <xf numFmtId="164" fontId="21" fillId="0" borderId="1" xfId="1" applyBorder="1"/>
    <xf numFmtId="0" fontId="0" fillId="0" borderId="0" xfId="0" applyBorder="1" applyAlignment="1">
      <alignment vertical="center"/>
    </xf>
    <xf numFmtId="1" fontId="0" fillId="0" borderId="0" xfId="0" applyNumberFormat="1"/>
    <xf numFmtId="164" fontId="22" fillId="6" borderId="18" xfId="4" applyNumberFormat="1"/>
    <xf numFmtId="9" fontId="22" fillId="6" borderId="18" xfId="4" applyNumberFormat="1"/>
    <xf numFmtId="8" fontId="23" fillId="7" borderId="19" xfId="5" applyNumberFormat="1"/>
    <xf numFmtId="43" fontId="0" fillId="0" borderId="0" xfId="0" applyNumberFormat="1" applyFont="1"/>
    <xf numFmtId="0" fontId="18" fillId="4" borderId="8" xfId="0" applyFont="1" applyFill="1" applyBorder="1" applyAlignment="1">
      <alignment horizontal="left" vertical="center" wrapText="1"/>
    </xf>
    <xf numFmtId="164" fontId="0" fillId="0" borderId="0" xfId="0" applyNumberFormat="1"/>
    <xf numFmtId="164" fontId="21" fillId="0" borderId="0" xfId="1" applyBorder="1" applyProtection="1"/>
    <xf numFmtId="164" fontId="24" fillId="0" borderId="0" xfId="6" applyNumberFormat="1" applyBorder="1" applyAlignment="1" applyProtection="1"/>
    <xf numFmtId="9" fontId="0" fillId="0" borderId="0" xfId="3" applyFont="1" applyAlignment="1">
      <alignment vertical="top"/>
    </xf>
    <xf numFmtId="171" fontId="0" fillId="0" borderId="0" xfId="0" applyNumberFormat="1"/>
  </cellXfs>
  <cellStyles count="7">
    <cellStyle name="Ausgabe" xfId="5" builtinId="21"/>
    <cellStyle name="Eingabe" xfId="4" builtinId="20"/>
    <cellStyle name="Erklärender Text" xfId="2" builtinId="53" customBuiltin="1"/>
    <cellStyle name="Link" xfId="6" builtinId="8"/>
    <cellStyle name="Prozent" xfId="3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542880</xdr:colOff>
      <xdr:row>0</xdr:row>
      <xdr:rowOff>0</xdr:rowOff>
    </xdr:from>
    <xdr:to>
      <xdr:col>8</xdr:col>
      <xdr:colOff>16920</xdr:colOff>
      <xdr:row>1</xdr:row>
      <xdr:rowOff>217440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3600" y="0"/>
          <a:ext cx="1750320" cy="467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320760</xdr:colOff>
      <xdr:row>0</xdr:row>
      <xdr:rowOff>0</xdr:rowOff>
    </xdr:from>
    <xdr:to>
      <xdr:col>7</xdr:col>
      <xdr:colOff>1062720</xdr:colOff>
      <xdr:row>1</xdr:row>
      <xdr:rowOff>113400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41480" y="0"/>
          <a:ext cx="1875240" cy="3632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116"/>
  <sheetViews>
    <sheetView showGridLines="0" tabSelected="1" topLeftCell="A64" zoomScale="85" zoomScaleNormal="85" workbookViewId="0">
      <selection activeCell="J64" sqref="J64"/>
    </sheetView>
  </sheetViews>
  <sheetFormatPr baseColWidth="10" defaultColWidth="9.140625" defaultRowHeight="15" x14ac:dyDescent="0.25"/>
  <cols>
    <col min="1" max="1" width="47.140625"/>
    <col min="2" max="2" width="14.42578125"/>
    <col min="3" max="4" width="16"/>
    <col min="5" max="5" width="15.28515625" style="1"/>
    <col min="6" max="6" width="16"/>
    <col min="7" max="7" width="16" style="2"/>
    <col min="8" max="8" width="16.140625"/>
    <col min="9" max="9" width="13.5703125" customWidth="1"/>
    <col min="10" max="10" width="16.85546875" customWidth="1"/>
    <col min="11" max="11" width="15.85546875"/>
    <col min="12" max="12" width="15.28515625" customWidth="1"/>
    <col min="13" max="13" width="12.28515625" customWidth="1"/>
    <col min="14" max="14" width="16" customWidth="1"/>
    <col min="15" max="17" width="8.5703125"/>
    <col min="18" max="18" width="15.7109375" customWidth="1"/>
    <col min="19" max="1023" width="8.5703125"/>
  </cols>
  <sheetData>
    <row r="1" spans="1:1022" s="7" customFormat="1" ht="21" x14ac:dyDescent="0.3">
      <c r="A1" s="3" t="s">
        <v>0</v>
      </c>
      <c r="B1" s="4"/>
      <c r="C1" s="4"/>
      <c r="D1" s="4"/>
      <c r="E1" s="5"/>
      <c r="F1" s="4"/>
      <c r="G1" s="6"/>
      <c r="H1" s="4"/>
      <c r="AMG1"/>
      <c r="AMH1"/>
    </row>
    <row r="2" spans="1:1022" ht="19.899999999999999" customHeight="1" x14ac:dyDescent="0.25">
      <c r="A2" s="8"/>
      <c r="B2" s="8"/>
      <c r="C2" s="8"/>
      <c r="D2" s="8"/>
      <c r="E2" s="9"/>
      <c r="F2" s="8"/>
      <c r="G2" s="10"/>
      <c r="H2" s="8"/>
      <c r="M2" s="154">
        <f>J101</f>
        <v>0</v>
      </c>
    </row>
    <row r="3" spans="1:1022" ht="32.25" customHeight="1" x14ac:dyDescent="0.25">
      <c r="A3" s="8"/>
      <c r="B3" s="8"/>
      <c r="C3" s="135">
        <v>2017</v>
      </c>
      <c r="D3" s="135"/>
      <c r="E3" s="11"/>
      <c r="F3" s="135">
        <v>2018</v>
      </c>
      <c r="G3" s="135"/>
      <c r="H3" s="135"/>
      <c r="J3" s="133">
        <v>2019</v>
      </c>
      <c r="L3" t="s">
        <v>66</v>
      </c>
    </row>
    <row r="4" spans="1:1022" ht="15.75" x14ac:dyDescent="0.25">
      <c r="A4" s="8"/>
      <c r="B4" s="8"/>
      <c r="C4" s="12" t="s">
        <v>1</v>
      </c>
      <c r="D4" s="13" t="s">
        <v>2</v>
      </c>
      <c r="E4" s="11"/>
      <c r="F4" s="14" t="s">
        <v>1</v>
      </c>
      <c r="G4" s="15" t="s">
        <v>1</v>
      </c>
      <c r="H4" s="13" t="s">
        <v>3</v>
      </c>
      <c r="J4" s="14" t="s">
        <v>1</v>
      </c>
    </row>
    <row r="5" spans="1:1022" ht="15.75" x14ac:dyDescent="0.25">
      <c r="A5" s="8"/>
      <c r="B5" s="16"/>
      <c r="C5" s="17" t="s">
        <v>4</v>
      </c>
      <c r="D5" s="18">
        <v>43100</v>
      </c>
      <c r="E5" s="19"/>
      <c r="F5" s="20" t="s">
        <v>5</v>
      </c>
      <c r="G5" s="21" t="s">
        <v>6</v>
      </c>
      <c r="H5" s="18">
        <v>43344</v>
      </c>
      <c r="J5" s="20" t="s">
        <v>5</v>
      </c>
      <c r="K5" s="147"/>
      <c r="L5" t="s">
        <v>96</v>
      </c>
      <c r="M5" s="147"/>
      <c r="N5" t="s">
        <v>97</v>
      </c>
    </row>
    <row r="6" spans="1:1022" ht="15.75" x14ac:dyDescent="0.25">
      <c r="A6" s="16" t="s">
        <v>7</v>
      </c>
      <c r="B6" s="8"/>
      <c r="C6" s="22"/>
      <c r="D6" s="19"/>
      <c r="E6" s="19"/>
      <c r="F6" s="19"/>
      <c r="G6" s="23"/>
      <c r="H6" s="19"/>
      <c r="J6" s="19"/>
      <c r="L6" t="s">
        <v>67</v>
      </c>
      <c r="M6" s="158">
        <f>12879+160</f>
        <v>13039</v>
      </c>
      <c r="N6" s="148">
        <v>13000</v>
      </c>
    </row>
    <row r="7" spans="1:1022" ht="15.75" x14ac:dyDescent="0.25">
      <c r="A7" s="24" t="s">
        <v>8</v>
      </c>
      <c r="B7" s="24"/>
      <c r="C7" s="118">
        <f>SUM(C8:C12)</f>
        <v>175439.22999999998</v>
      </c>
      <c r="D7" s="119">
        <f>SUM(D8:D12)</f>
        <v>192893.18</v>
      </c>
      <c r="E7" s="25"/>
      <c r="F7" s="118">
        <f>SUM(F8:F14)</f>
        <v>150117.03</v>
      </c>
      <c r="G7" s="120">
        <f>SUM(G8:G14)</f>
        <v>185065.06</v>
      </c>
      <c r="H7" s="121">
        <v>185065.06</v>
      </c>
      <c r="J7" s="118">
        <f>SUM(J8:J14)</f>
        <v>190653.38</v>
      </c>
      <c r="L7" t="s">
        <v>68</v>
      </c>
      <c r="M7" s="158">
        <f>13808+220</f>
        <v>14028</v>
      </c>
      <c r="N7">
        <v>13500</v>
      </c>
    </row>
    <row r="8" spans="1:1022" ht="15.75" customHeight="1" x14ac:dyDescent="0.25">
      <c r="A8" s="136" t="s">
        <v>62</v>
      </c>
      <c r="B8" s="136"/>
      <c r="C8" s="26">
        <f>172814.33-C12</f>
        <v>147785.97999999998</v>
      </c>
      <c r="D8" s="27">
        <f>167866.75+25026.43-D12-D10</f>
        <v>165239.93</v>
      </c>
      <c r="E8" s="28"/>
      <c r="F8" s="29">
        <f>147492.13-F12</f>
        <v>122463.78</v>
      </c>
      <c r="G8" s="30">
        <f>D94-G12-G10</f>
        <v>157411.81</v>
      </c>
      <c r="H8" s="31">
        <f>H7-H12-H10</f>
        <v>157411.81</v>
      </c>
      <c r="J8" s="29">
        <v>163000</v>
      </c>
    </row>
    <row r="9" spans="1:1022" ht="15.75" customHeight="1" x14ac:dyDescent="0.25">
      <c r="A9" s="142" t="s">
        <v>80</v>
      </c>
      <c r="B9" s="142"/>
      <c r="C9" s="142"/>
      <c r="D9" s="142"/>
      <c r="E9" s="142"/>
      <c r="F9" s="142"/>
      <c r="G9" s="142"/>
      <c r="H9" s="142"/>
      <c r="I9" s="142"/>
      <c r="J9" s="142"/>
      <c r="L9" t="s">
        <v>95</v>
      </c>
      <c r="M9" s="149">
        <v>15</v>
      </c>
      <c r="N9" t="s">
        <v>100</v>
      </c>
      <c r="Q9" s="138">
        <f>M9*M10-P13</f>
        <v>2.75</v>
      </c>
    </row>
    <row r="10" spans="1:1022" ht="15.75" customHeight="1" x14ac:dyDescent="0.25">
      <c r="A10" s="32" t="s">
        <v>9</v>
      </c>
      <c r="B10" s="114"/>
      <c r="C10" s="26">
        <v>2624.9</v>
      </c>
      <c r="D10" s="27">
        <v>2624.9</v>
      </c>
      <c r="E10" s="28"/>
      <c r="F10" s="29">
        <v>2624.9</v>
      </c>
      <c r="G10" s="30">
        <v>2624.9</v>
      </c>
      <c r="H10" s="31">
        <v>2624.9</v>
      </c>
      <c r="J10" s="29">
        <v>2624.9</v>
      </c>
      <c r="L10" t="s">
        <v>69</v>
      </c>
      <c r="M10" s="150">
        <v>0.4</v>
      </c>
      <c r="N10" t="s">
        <v>101</v>
      </c>
      <c r="Q10" s="140">
        <f>Q9/P13</f>
        <v>0.84615384615384615</v>
      </c>
    </row>
    <row r="11" spans="1:1022" ht="15.75" customHeight="1" x14ac:dyDescent="0.25">
      <c r="A11" s="142" t="s">
        <v>81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22" ht="15.75" x14ac:dyDescent="0.25">
      <c r="A12" s="136" t="s">
        <v>63</v>
      </c>
      <c r="B12" s="136"/>
      <c r="C12" s="33">
        <f>25028.35</f>
        <v>25028.35</v>
      </c>
      <c r="D12" s="34">
        <v>25028.35</v>
      </c>
      <c r="E12" s="35"/>
      <c r="F12" s="36">
        <v>25028.35</v>
      </c>
      <c r="G12" s="37">
        <v>25028.35</v>
      </c>
      <c r="H12" s="38">
        <v>25028.35</v>
      </c>
      <c r="J12" s="36">
        <v>25028.48</v>
      </c>
    </row>
    <row r="13" spans="1:1022" ht="15.75" x14ac:dyDescent="0.25">
      <c r="A13" s="142" t="s">
        <v>82</v>
      </c>
      <c r="B13" s="142"/>
      <c r="C13" s="142"/>
      <c r="D13" s="142"/>
      <c r="E13" s="142"/>
      <c r="F13" s="142"/>
      <c r="G13" s="142"/>
      <c r="H13" s="142"/>
      <c r="I13" s="142"/>
      <c r="J13" s="142"/>
      <c r="L13" t="s">
        <v>93</v>
      </c>
      <c r="O13" t="s">
        <v>94</v>
      </c>
      <c r="P13" s="151">
        <v>3.25</v>
      </c>
      <c r="Q13" s="138">
        <f>3.25*1.02^12</f>
        <v>4.1217858323282721</v>
      </c>
    </row>
    <row r="14" spans="1:1022" ht="15.75" x14ac:dyDescent="0.25">
      <c r="A14" s="16"/>
      <c r="B14" s="8"/>
      <c r="C14" s="39"/>
      <c r="D14" s="40"/>
      <c r="E14" s="19"/>
      <c r="F14" s="19"/>
      <c r="G14" s="22"/>
      <c r="H14" s="19"/>
      <c r="J14" s="19"/>
      <c r="L14" s="144" t="s">
        <v>92</v>
      </c>
      <c r="M14" s="145">
        <v>0.5</v>
      </c>
      <c r="N14" s="145">
        <v>0.45</v>
      </c>
      <c r="O14" s="145">
        <v>0.42</v>
      </c>
      <c r="P14" s="145">
        <v>0.4</v>
      </c>
      <c r="Q14" s="145">
        <v>0.35</v>
      </c>
    </row>
    <row r="15" spans="1:1022" ht="15.75" x14ac:dyDescent="0.25">
      <c r="A15" s="24" t="s">
        <v>7</v>
      </c>
      <c r="B15" s="24"/>
      <c r="C15" s="122">
        <f>SUM(C16:C25)</f>
        <v>190860</v>
      </c>
      <c r="D15" s="121">
        <f>SUM(D16:D25)</f>
        <v>189651.06000000003</v>
      </c>
      <c r="E15" s="41"/>
      <c r="F15" s="122">
        <f>SUM(F16:F25)</f>
        <v>186410</v>
      </c>
      <c r="G15" s="123">
        <f>SUM(G16:G25)</f>
        <v>186727.5</v>
      </c>
      <c r="H15" s="121">
        <f>SUM(H16:H25)</f>
        <v>86982.16</v>
      </c>
      <c r="I15" s="42"/>
      <c r="J15" s="122">
        <f>SUM(J16:J25)</f>
        <v>408100</v>
      </c>
      <c r="L15" s="146">
        <v>6.5</v>
      </c>
      <c r="M15" s="146">
        <f>L15*$M$14</f>
        <v>3.25</v>
      </c>
      <c r="N15" s="146">
        <f>L15*$N$14</f>
        <v>2.9250000000000003</v>
      </c>
      <c r="O15" s="146">
        <f>L15*$O$14</f>
        <v>2.73</v>
      </c>
      <c r="P15" s="146">
        <f>L15*$P$14</f>
        <v>2.6</v>
      </c>
      <c r="Q15" s="146">
        <f>L15*$Q$14</f>
        <v>2.2749999999999999</v>
      </c>
    </row>
    <row r="16" spans="1:1022" ht="15.75" x14ac:dyDescent="0.25">
      <c r="A16" s="8" t="s">
        <v>10</v>
      </c>
      <c r="B16" s="8"/>
      <c r="C16" s="43">
        <v>10</v>
      </c>
      <c r="D16" s="44">
        <v>1.92</v>
      </c>
      <c r="E16" s="35"/>
      <c r="F16" s="45">
        <v>10</v>
      </c>
      <c r="G16" s="46">
        <v>10</v>
      </c>
      <c r="H16" s="47">
        <v>0</v>
      </c>
      <c r="I16" s="42"/>
      <c r="J16" s="45">
        <v>0</v>
      </c>
      <c r="L16" s="146">
        <v>10</v>
      </c>
      <c r="M16" s="146">
        <f>L16*$M$14</f>
        <v>5</v>
      </c>
      <c r="N16" s="146">
        <f>L16*$N$14</f>
        <v>4.5</v>
      </c>
      <c r="O16" s="146">
        <f>L16*$O$14</f>
        <v>4.2</v>
      </c>
      <c r="P16" s="146">
        <f>L16*$P$14</f>
        <v>4</v>
      </c>
      <c r="Q16" s="146">
        <f>L16*$Q$14</f>
        <v>3.5</v>
      </c>
    </row>
    <row r="17" spans="1:1022" ht="15.75" x14ac:dyDescent="0.25">
      <c r="A17" s="142" t="s">
        <v>83</v>
      </c>
      <c r="B17" s="142"/>
      <c r="C17" s="142"/>
      <c r="D17" s="142"/>
      <c r="E17" s="142"/>
      <c r="F17" s="142"/>
      <c r="G17" s="142"/>
      <c r="H17" s="142"/>
      <c r="I17" s="142"/>
      <c r="J17" s="142"/>
      <c r="L17" s="146">
        <v>13</v>
      </c>
      <c r="M17" s="146">
        <f>L17*$M$14</f>
        <v>6.5</v>
      </c>
      <c r="N17" s="146">
        <f>L17*$N$14</f>
        <v>5.8500000000000005</v>
      </c>
      <c r="O17" s="146">
        <f>L17*$O$14</f>
        <v>5.46</v>
      </c>
      <c r="P17" s="146">
        <f>L17*$P$14</f>
        <v>5.2</v>
      </c>
      <c r="Q17" s="146">
        <f>L17*$Q$14</f>
        <v>4.55</v>
      </c>
    </row>
    <row r="18" spans="1:1022" ht="15.75" x14ac:dyDescent="0.25">
      <c r="A18" s="8" t="s">
        <v>11</v>
      </c>
      <c r="B18" s="8"/>
      <c r="C18" s="48">
        <v>8500</v>
      </c>
      <c r="D18" s="44">
        <v>9132.7199999999993</v>
      </c>
      <c r="E18" s="35"/>
      <c r="F18" s="45">
        <v>8500</v>
      </c>
      <c r="G18" s="46">
        <v>8659</v>
      </c>
      <c r="H18" s="47">
        <v>0</v>
      </c>
      <c r="I18" s="42"/>
      <c r="J18" s="45">
        <v>8500</v>
      </c>
      <c r="L18" s="146">
        <v>15</v>
      </c>
      <c r="M18" s="146">
        <f>L18*$M$14</f>
        <v>7.5</v>
      </c>
      <c r="N18" s="146">
        <f>L18*$N$14</f>
        <v>6.75</v>
      </c>
      <c r="O18" s="146">
        <f>L18*$O$14</f>
        <v>6.3</v>
      </c>
      <c r="P18" s="146">
        <f>L18*$P$14</f>
        <v>6</v>
      </c>
      <c r="Q18" s="146">
        <f>L18*$Q$14</f>
        <v>5.25</v>
      </c>
    </row>
    <row r="19" spans="1:1022" ht="15.75" x14ac:dyDescent="0.25">
      <c r="A19" s="142" t="s">
        <v>84</v>
      </c>
      <c r="B19" s="142"/>
      <c r="C19" s="142"/>
      <c r="D19" s="142"/>
      <c r="E19" s="142"/>
      <c r="F19" s="142"/>
      <c r="G19" s="142"/>
      <c r="H19" s="142"/>
      <c r="I19" s="142"/>
      <c r="J19" s="142"/>
      <c r="L19" s="146">
        <v>20</v>
      </c>
      <c r="M19" s="146">
        <f>L19*$M$14</f>
        <v>10</v>
      </c>
      <c r="N19" s="146">
        <f>L19*$N$14</f>
        <v>9</v>
      </c>
      <c r="O19" s="146">
        <f>L19*$O$14</f>
        <v>8.4</v>
      </c>
      <c r="P19" s="146">
        <f>L19*$P$14</f>
        <v>8</v>
      </c>
      <c r="Q19" s="146">
        <f>L19*$Q$14</f>
        <v>7</v>
      </c>
    </row>
    <row r="20" spans="1:1022" ht="15.75" x14ac:dyDescent="0.25">
      <c r="A20" s="8" t="s">
        <v>12</v>
      </c>
      <c r="B20" s="8" t="s">
        <v>13</v>
      </c>
      <c r="C20" s="48">
        <v>87000</v>
      </c>
      <c r="D20" s="44">
        <v>85676.5</v>
      </c>
      <c r="E20" s="8" t="s">
        <v>14</v>
      </c>
      <c r="F20" s="45">
        <v>85400</v>
      </c>
      <c r="G20" s="46">
        <f>H20</f>
        <v>85558.5</v>
      </c>
      <c r="H20" s="47">
        <v>85558.5</v>
      </c>
      <c r="I20" s="42" t="s">
        <v>72</v>
      </c>
      <c r="J20" s="45">
        <f>13000*$M$9</f>
        <v>195000</v>
      </c>
    </row>
    <row r="21" spans="1:1022" ht="15.75" x14ac:dyDescent="0.25">
      <c r="A21" s="8"/>
      <c r="B21" s="8" t="s">
        <v>15</v>
      </c>
      <c r="C21" s="49">
        <v>93000</v>
      </c>
      <c r="D21" s="44">
        <v>91877.5</v>
      </c>
      <c r="E21" s="8" t="s">
        <v>16</v>
      </c>
      <c r="F21" s="45">
        <v>90400</v>
      </c>
      <c r="G21" s="46">
        <v>90400</v>
      </c>
      <c r="H21" s="47">
        <v>0</v>
      </c>
      <c r="I21" s="42" t="s">
        <v>73</v>
      </c>
      <c r="J21" s="45">
        <f>13500*$M$9</f>
        <v>202500</v>
      </c>
    </row>
    <row r="22" spans="1:1022" ht="15.75" x14ac:dyDescent="0.25">
      <c r="A22" s="142" t="s">
        <v>85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22" ht="15.75" x14ac:dyDescent="0.25">
      <c r="A23" s="8" t="s">
        <v>17</v>
      </c>
      <c r="B23" s="8"/>
      <c r="C23" s="50">
        <v>2000</v>
      </c>
      <c r="D23" s="44">
        <v>2867</v>
      </c>
      <c r="E23" s="35"/>
      <c r="F23" s="45">
        <v>2000</v>
      </c>
      <c r="G23" s="46">
        <v>2000</v>
      </c>
      <c r="H23" s="47">
        <f>900+100+100</f>
        <v>1100</v>
      </c>
      <c r="J23" s="45">
        <v>2000</v>
      </c>
    </row>
    <row r="24" spans="1:1022" ht="15.75" x14ac:dyDescent="0.25">
      <c r="A24" s="142" t="s">
        <v>86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22" s="54" customFormat="1" ht="15.75" x14ac:dyDescent="0.25">
      <c r="A25" s="51" t="s">
        <v>18</v>
      </c>
      <c r="B25" s="51"/>
      <c r="C25" s="52">
        <v>350</v>
      </c>
      <c r="D25" s="53">
        <f>95.42</f>
        <v>95.42</v>
      </c>
      <c r="E25" s="8"/>
      <c r="F25" s="36">
        <v>100</v>
      </c>
      <c r="G25" s="37">
        <v>100</v>
      </c>
      <c r="H25" s="38">
        <f>73.66+250</f>
        <v>323.65999999999997</v>
      </c>
      <c r="I25"/>
      <c r="J25" s="36">
        <v>100</v>
      </c>
      <c r="AMG25"/>
      <c r="AMH25"/>
    </row>
    <row r="26" spans="1:1022" s="54" customFormat="1" ht="15.75" x14ac:dyDescent="0.25">
      <c r="A26" s="142" t="s">
        <v>87</v>
      </c>
      <c r="B26" s="142"/>
      <c r="C26" s="142"/>
      <c r="D26" s="142"/>
      <c r="E26" s="142"/>
      <c r="F26" s="142"/>
      <c r="G26" s="142"/>
      <c r="H26" s="142"/>
      <c r="I26" s="142"/>
      <c r="J26" s="142"/>
      <c r="AMG26"/>
      <c r="AMH26"/>
    </row>
    <row r="27" spans="1:1022" ht="15.75" x14ac:dyDescent="0.25">
      <c r="A27" s="8"/>
      <c r="B27" s="8"/>
      <c r="C27" s="55"/>
      <c r="D27" s="56"/>
      <c r="E27" s="19"/>
      <c r="F27" s="19"/>
      <c r="G27" s="22"/>
      <c r="H27" s="19"/>
      <c r="I27" s="42"/>
      <c r="J27" s="19"/>
    </row>
    <row r="28" spans="1:1022" ht="15.75" x14ac:dyDescent="0.25">
      <c r="A28" s="57" t="s">
        <v>70</v>
      </c>
      <c r="B28" s="58"/>
      <c r="C28" s="59">
        <f>SUM(C15,C7)</f>
        <v>366299.23</v>
      </c>
      <c r="D28" s="60">
        <f>D15+D7</f>
        <v>382544.24</v>
      </c>
      <c r="E28" s="61"/>
      <c r="F28" s="62">
        <f>SUM(F15+F7)</f>
        <v>336527.03</v>
      </c>
      <c r="G28" s="63">
        <f>SUM(G15+G7)</f>
        <v>371792.56</v>
      </c>
      <c r="H28" s="64">
        <f>SUM(H15+H7)</f>
        <v>272047.21999999997</v>
      </c>
      <c r="I28" s="42"/>
      <c r="J28" s="62">
        <f>SUM(J15+J7)</f>
        <v>598753.38</v>
      </c>
    </row>
    <row r="29" spans="1:1022" ht="15.75" x14ac:dyDescent="0.25">
      <c r="A29" s="8"/>
      <c r="B29" s="8"/>
      <c r="C29" s="39"/>
      <c r="D29" s="65"/>
      <c r="E29" s="35"/>
      <c r="F29" s="35"/>
      <c r="G29" s="46"/>
      <c r="H29" s="35"/>
      <c r="J29" s="35"/>
      <c r="K29" s="66"/>
    </row>
    <row r="30" spans="1:1022" s="68" customFormat="1" ht="15.75" x14ac:dyDescent="0.25">
      <c r="A30" s="16" t="s">
        <v>19</v>
      </c>
      <c r="B30" s="8"/>
      <c r="C30" s="39"/>
      <c r="D30" s="65"/>
      <c r="E30" s="35"/>
      <c r="F30" s="35"/>
      <c r="G30" s="46"/>
      <c r="H30" s="35"/>
      <c r="I30" s="42"/>
      <c r="J30" s="35"/>
      <c r="K30" s="67" t="s">
        <v>119</v>
      </c>
      <c r="AMG30"/>
      <c r="AMH30"/>
    </row>
    <row r="31" spans="1:1022" ht="15.75" x14ac:dyDescent="0.25">
      <c r="A31" s="24" t="s">
        <v>108</v>
      </c>
      <c r="B31" s="69"/>
      <c r="C31" s="127">
        <f>SUM(C32:C34)</f>
        <v>67000</v>
      </c>
      <c r="D31" s="127">
        <f>SUM(D32:D34)</f>
        <v>42367.44</v>
      </c>
      <c r="E31" s="76"/>
      <c r="F31" s="127">
        <f>SUM(F32:F34)</f>
        <v>65500</v>
      </c>
      <c r="G31" s="127">
        <f>SUM(G32:G34)</f>
        <v>78417.55</v>
      </c>
      <c r="H31" s="127">
        <f>SUM(H32:H34)</f>
        <v>62635.95</v>
      </c>
      <c r="I31" s="42"/>
      <c r="J31" s="127">
        <f>SUM(J32:J34)</f>
        <v>112066.22</v>
      </c>
      <c r="K31" s="140">
        <f>J31/$J$28</f>
        <v>0.18716590794026081</v>
      </c>
    </row>
    <row r="32" spans="1:1022" ht="15.75" x14ac:dyDescent="0.25">
      <c r="A32" s="8" t="s">
        <v>110</v>
      </c>
      <c r="B32" s="8"/>
      <c r="C32" s="77"/>
      <c r="D32" s="83"/>
      <c r="E32" s="73"/>
      <c r="F32" s="45"/>
      <c r="G32" s="46"/>
      <c r="H32" s="47"/>
      <c r="I32" s="42"/>
      <c r="J32" s="45">
        <v>11000</v>
      </c>
    </row>
    <row r="33" spans="1:12" ht="15.75" x14ac:dyDescent="0.25">
      <c r="A33" s="8" t="s">
        <v>111</v>
      </c>
      <c r="B33" s="8"/>
      <c r="C33" s="77">
        <v>20000</v>
      </c>
      <c r="D33" s="83">
        <v>15562.34</v>
      </c>
      <c r="E33" s="73"/>
      <c r="F33" s="45">
        <v>20000</v>
      </c>
      <c r="G33" s="46">
        <v>20000</v>
      </c>
      <c r="H33" s="47">
        <v>16272.27</v>
      </c>
      <c r="I33" s="91"/>
      <c r="J33" s="45">
        <v>20000</v>
      </c>
    </row>
    <row r="34" spans="1:12" ht="15.75" x14ac:dyDescent="0.25">
      <c r="A34" s="8" t="s">
        <v>109</v>
      </c>
      <c r="B34" s="8"/>
      <c r="C34" s="71">
        <v>47000</v>
      </c>
      <c r="D34" s="72">
        <v>26805.1</v>
      </c>
      <c r="E34" s="73"/>
      <c r="F34" s="36">
        <v>45500</v>
      </c>
      <c r="G34" s="37">
        <f>H34+12053.87</f>
        <v>58417.55</v>
      </c>
      <c r="H34" s="38">
        <f>46363.68</f>
        <v>46363.68</v>
      </c>
      <c r="I34" s="42"/>
      <c r="J34" s="36">
        <f>84735/2-4892.28+91182/2-2000</f>
        <v>81066.22</v>
      </c>
    </row>
    <row r="35" spans="1:12" ht="15.75" x14ac:dyDescent="0.25">
      <c r="A35" s="142" t="s">
        <v>88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36" spans="1:12" ht="15.75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</row>
    <row r="37" spans="1:12" ht="15.75" x14ac:dyDescent="0.25">
      <c r="A37" s="24" t="s">
        <v>20</v>
      </c>
      <c r="B37" s="69"/>
      <c r="C37" s="124">
        <f>SUM(C38:C39)</f>
        <v>90000</v>
      </c>
      <c r="D37" s="125">
        <f>SUM(D38:D39)</f>
        <v>42828.51</v>
      </c>
      <c r="E37" s="70"/>
      <c r="F37" s="115">
        <f>SUM(F38:F39)</f>
        <v>87900</v>
      </c>
      <c r="G37" s="116">
        <f>SUM(G38:G39)</f>
        <v>99028.77</v>
      </c>
      <c r="H37" s="117">
        <f>SUM(H38:H39)</f>
        <v>11128.77</v>
      </c>
      <c r="J37" s="115">
        <f>SUM(J38:J39)</f>
        <v>159000</v>
      </c>
      <c r="K37" s="140">
        <f>J37/$J$28</f>
        <v>0.26555173684364003</v>
      </c>
      <c r="L37" s="66"/>
    </row>
    <row r="38" spans="1:12" ht="15.75" x14ac:dyDescent="0.25">
      <c r="A38" s="8" t="s">
        <v>21</v>
      </c>
      <c r="B38" s="8" t="s">
        <v>13</v>
      </c>
      <c r="C38" s="43">
        <v>43500</v>
      </c>
      <c r="D38" s="44">
        <v>42828.51</v>
      </c>
      <c r="E38" s="8" t="s">
        <v>14</v>
      </c>
      <c r="F38" s="45">
        <v>42700</v>
      </c>
      <c r="G38" s="46">
        <f>42700+11128.77</f>
        <v>53828.770000000004</v>
      </c>
      <c r="H38" s="47">
        <v>11128.77</v>
      </c>
      <c r="I38" s="42" t="s">
        <v>72</v>
      </c>
      <c r="J38" s="45">
        <f>N6*M10*M9</f>
        <v>78000</v>
      </c>
    </row>
    <row r="39" spans="1:12" ht="15.75" x14ac:dyDescent="0.25">
      <c r="A39" s="8" t="s">
        <v>22</v>
      </c>
      <c r="B39" s="8" t="s">
        <v>16</v>
      </c>
      <c r="C39" s="43">
        <v>46500</v>
      </c>
      <c r="D39" s="44">
        <v>0</v>
      </c>
      <c r="E39" s="8" t="s">
        <v>16</v>
      </c>
      <c r="F39" s="45">
        <v>45200</v>
      </c>
      <c r="G39" s="46">
        <v>45200</v>
      </c>
      <c r="H39" s="47">
        <v>0</v>
      </c>
      <c r="I39" s="42" t="s">
        <v>73</v>
      </c>
      <c r="J39" s="45">
        <f>M9*N7*M10</f>
        <v>81000</v>
      </c>
    </row>
    <row r="40" spans="1:12" ht="15.75" x14ac:dyDescent="0.25">
      <c r="A40" s="16"/>
      <c r="B40" s="8"/>
      <c r="C40" s="74"/>
      <c r="D40" s="75"/>
      <c r="E40" s="73"/>
      <c r="F40" s="35"/>
      <c r="G40" s="46"/>
      <c r="H40" s="35"/>
      <c r="I40" s="42"/>
      <c r="J40" s="35"/>
      <c r="K40" s="140"/>
      <c r="L40" s="137"/>
    </row>
    <row r="41" spans="1:12" ht="15.75" x14ac:dyDescent="0.25">
      <c r="A41" s="24" t="s">
        <v>23</v>
      </c>
      <c r="B41" s="69"/>
      <c r="C41" s="127">
        <f>SUM(C42:C51)</f>
        <v>20000</v>
      </c>
      <c r="D41" s="126">
        <f>SUM(D42:D51)</f>
        <v>8214.74</v>
      </c>
      <c r="E41" s="76"/>
      <c r="F41" s="115">
        <f>SUM(F42:F51)</f>
        <v>20751.07</v>
      </c>
      <c r="G41" s="116">
        <f>SUM(G42:G51)</f>
        <v>21001.07</v>
      </c>
      <c r="H41" s="117">
        <f>SUM(H42:H51)</f>
        <v>4857.17</v>
      </c>
      <c r="I41" s="42"/>
      <c r="J41" s="115">
        <f>SUM(J42:J51)</f>
        <v>27000</v>
      </c>
      <c r="K41" s="140">
        <f>J41/$J$28</f>
        <v>4.5093691162127553E-2</v>
      </c>
    </row>
    <row r="42" spans="1:12" ht="15.75" x14ac:dyDescent="0.25">
      <c r="A42" s="8" t="s">
        <v>24</v>
      </c>
      <c r="B42" s="8"/>
      <c r="C42" s="77">
        <v>2000</v>
      </c>
      <c r="D42" s="78">
        <v>1801.54</v>
      </c>
      <c r="E42" s="73"/>
      <c r="F42" s="45">
        <v>2000</v>
      </c>
      <c r="G42" s="46">
        <v>2250</v>
      </c>
      <c r="H42" s="47">
        <f>1517.64</f>
        <v>1517.64</v>
      </c>
      <c r="I42" s="42"/>
      <c r="J42" s="45">
        <v>4000</v>
      </c>
    </row>
    <row r="43" spans="1:12" ht="15.75" x14ac:dyDescent="0.25">
      <c r="A43" s="8" t="s">
        <v>65</v>
      </c>
      <c r="B43" s="8"/>
      <c r="C43" s="77">
        <v>2000</v>
      </c>
      <c r="D43" s="78">
        <v>158.69</v>
      </c>
      <c r="E43" s="73"/>
      <c r="F43" s="45">
        <v>2000</v>
      </c>
      <c r="G43" s="46">
        <v>2000</v>
      </c>
      <c r="H43" s="47">
        <v>0</v>
      </c>
      <c r="J43" s="45">
        <v>4000</v>
      </c>
    </row>
    <row r="44" spans="1:12" ht="15.75" x14ac:dyDescent="0.25">
      <c r="A44" s="8" t="s">
        <v>25</v>
      </c>
      <c r="B44" s="8"/>
      <c r="C44" s="77">
        <v>2000</v>
      </c>
      <c r="D44" s="78">
        <v>1307.57</v>
      </c>
      <c r="E44" s="73"/>
      <c r="F44" s="45">
        <v>2000</v>
      </c>
      <c r="G44" s="46">
        <v>2000</v>
      </c>
      <c r="H44" s="47">
        <v>0</v>
      </c>
      <c r="J44" s="45">
        <v>2000</v>
      </c>
    </row>
    <row r="45" spans="1:12" ht="15.75" x14ac:dyDescent="0.25">
      <c r="A45" s="8" t="s">
        <v>26</v>
      </c>
      <c r="B45" s="8"/>
      <c r="C45" s="77">
        <v>2000</v>
      </c>
      <c r="D45" s="78">
        <v>943.19</v>
      </c>
      <c r="E45" s="73"/>
      <c r="F45" s="45">
        <v>2000</v>
      </c>
      <c r="G45" s="46">
        <v>2000</v>
      </c>
      <c r="H45" s="47">
        <v>663.91</v>
      </c>
      <c r="J45" s="45">
        <v>3000</v>
      </c>
    </row>
    <row r="46" spans="1:12" ht="15.75" x14ac:dyDescent="0.25">
      <c r="A46" s="8" t="s">
        <v>27</v>
      </c>
      <c r="B46" s="8"/>
      <c r="C46" s="77">
        <v>2000</v>
      </c>
      <c r="D46" s="78">
        <v>50.92</v>
      </c>
      <c r="E46" s="73"/>
      <c r="F46" s="45">
        <v>2000</v>
      </c>
      <c r="G46" s="46">
        <v>2000</v>
      </c>
      <c r="H46" s="47">
        <v>5.38</v>
      </c>
      <c r="I46" s="42"/>
      <c r="J46" s="45">
        <v>1000</v>
      </c>
    </row>
    <row r="47" spans="1:12" ht="15.75" x14ac:dyDescent="0.25">
      <c r="A47" s="8" t="s">
        <v>28</v>
      </c>
      <c r="B47" s="8"/>
      <c r="C47" s="77">
        <v>2000</v>
      </c>
      <c r="D47" s="78">
        <v>398</v>
      </c>
      <c r="E47" s="73"/>
      <c r="F47" s="45">
        <v>2000</v>
      </c>
      <c r="G47" s="46">
        <v>2000</v>
      </c>
      <c r="H47" s="47">
        <v>49.34</v>
      </c>
      <c r="I47" s="42"/>
      <c r="J47" s="45">
        <v>2000</v>
      </c>
    </row>
    <row r="48" spans="1:12" ht="15.75" x14ac:dyDescent="0.25">
      <c r="A48" s="8" t="s">
        <v>29</v>
      </c>
      <c r="B48" s="8"/>
      <c r="C48" s="77">
        <v>2000</v>
      </c>
      <c r="D48" s="78">
        <v>152.88</v>
      </c>
      <c r="E48" s="73"/>
      <c r="F48" s="45">
        <v>2000</v>
      </c>
      <c r="G48" s="46">
        <v>2000</v>
      </c>
      <c r="H48" s="47">
        <v>503.06</v>
      </c>
      <c r="I48" s="42"/>
      <c r="J48" s="45">
        <v>2000</v>
      </c>
    </row>
    <row r="49" spans="1:16" ht="15.75" x14ac:dyDescent="0.25">
      <c r="A49" s="8" t="s">
        <v>30</v>
      </c>
      <c r="B49" s="8"/>
      <c r="C49" s="77">
        <v>2000</v>
      </c>
      <c r="D49" s="79">
        <v>2300.35</v>
      </c>
      <c r="E49" s="73"/>
      <c r="F49" s="45">
        <v>2000</v>
      </c>
      <c r="G49" s="46">
        <v>2000</v>
      </c>
      <c r="H49" s="47">
        <v>782.51</v>
      </c>
      <c r="I49" s="42"/>
      <c r="J49" s="45">
        <v>3000</v>
      </c>
    </row>
    <row r="50" spans="1:16" ht="14.25" customHeight="1" x14ac:dyDescent="0.25">
      <c r="A50" s="8" t="s">
        <v>31</v>
      </c>
      <c r="B50" s="8"/>
      <c r="C50" s="77">
        <v>2000</v>
      </c>
      <c r="D50" s="78">
        <v>0</v>
      </c>
      <c r="E50" s="73"/>
      <c r="F50" s="45">
        <v>2000</v>
      </c>
      <c r="G50" s="46">
        <v>2000</v>
      </c>
      <c r="H50" s="47">
        <v>0</v>
      </c>
      <c r="I50" s="42"/>
      <c r="J50" s="45">
        <v>2000</v>
      </c>
    </row>
    <row r="51" spans="1:16" ht="15.75" x14ac:dyDescent="0.25">
      <c r="A51" s="8" t="s">
        <v>32</v>
      </c>
      <c r="B51" s="8"/>
      <c r="C51" s="80">
        <v>2000</v>
      </c>
      <c r="D51" s="81">
        <v>1101.5999999999999</v>
      </c>
      <c r="E51" s="73"/>
      <c r="F51" s="36">
        <v>2751.07</v>
      </c>
      <c r="G51" s="37">
        <v>2751.07</v>
      </c>
      <c r="H51" s="38">
        <v>1335.33</v>
      </c>
      <c r="I51" s="42"/>
      <c r="J51" s="36">
        <v>4000</v>
      </c>
    </row>
    <row r="52" spans="1:16" ht="15.75" x14ac:dyDescent="0.25">
      <c r="A52" s="142" t="s">
        <v>103</v>
      </c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6" ht="15.75" x14ac:dyDescent="0.25">
      <c r="A53" s="8"/>
      <c r="B53" s="8"/>
      <c r="C53" s="74"/>
      <c r="D53" s="75"/>
      <c r="E53" s="73"/>
      <c r="F53" s="35"/>
      <c r="G53" s="46"/>
      <c r="H53" s="35"/>
      <c r="I53" s="42"/>
      <c r="J53" s="35"/>
      <c r="K53" s="140"/>
    </row>
    <row r="54" spans="1:16" ht="15.75" x14ac:dyDescent="0.25">
      <c r="A54" s="82" t="s">
        <v>112</v>
      </c>
      <c r="B54" s="69"/>
      <c r="C54" s="128">
        <f>SUM(C55:C72)</f>
        <v>37600</v>
      </c>
      <c r="D54" s="129">
        <f>SUM(D55:D72)</f>
        <v>24127.89</v>
      </c>
      <c r="E54" s="76"/>
      <c r="F54" s="115">
        <f>SUM(F55:F73)</f>
        <v>50850</v>
      </c>
      <c r="G54" s="116">
        <f>SUM(G55:G73)</f>
        <v>50850</v>
      </c>
      <c r="H54" s="117">
        <f>SUM(H55:H73)</f>
        <v>19157.149999999998</v>
      </c>
      <c r="I54" s="42"/>
      <c r="J54" s="115">
        <f>SUM(J55:J73)</f>
        <v>78210</v>
      </c>
      <c r="K54" s="140">
        <f>J54/$J$28</f>
        <v>0.13062139206629614</v>
      </c>
      <c r="L54" s="42"/>
      <c r="M54" s="42"/>
      <c r="N54" s="42"/>
      <c r="O54" s="42"/>
    </row>
    <row r="55" spans="1:16" ht="15.75" x14ac:dyDescent="0.25">
      <c r="A55" s="8" t="s">
        <v>33</v>
      </c>
      <c r="B55" s="8"/>
      <c r="C55" s="77">
        <v>21600</v>
      </c>
      <c r="D55" s="83">
        <v>14433.65</v>
      </c>
      <c r="E55" s="73"/>
      <c r="F55" s="45">
        <v>21600</v>
      </c>
      <c r="G55" s="46">
        <v>21600</v>
      </c>
      <c r="H55" s="47">
        <v>12156.93</v>
      </c>
      <c r="I55" s="42"/>
      <c r="J55" s="45">
        <f>450*4*12+500*12+6*1000</f>
        <v>33600</v>
      </c>
      <c r="K55" s="140">
        <f>J55/$J$28</f>
        <v>5.6116593446203178E-2</v>
      </c>
      <c r="L55" s="42"/>
      <c r="M55" s="42"/>
      <c r="N55" s="42"/>
      <c r="O55" s="42"/>
    </row>
    <row r="56" spans="1:16" ht="15.75" x14ac:dyDescent="0.25">
      <c r="A56" s="142" t="s">
        <v>104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0"/>
      <c r="L56" s="42"/>
      <c r="M56" s="42"/>
      <c r="N56" s="42"/>
      <c r="O56" s="42"/>
    </row>
    <row r="57" spans="1:16" ht="15.75" x14ac:dyDescent="0.25">
      <c r="A57" s="8" t="s">
        <v>99</v>
      </c>
      <c r="B57" s="8"/>
      <c r="C57" s="77"/>
      <c r="D57" s="83"/>
      <c r="E57" s="73"/>
      <c r="F57" s="45"/>
      <c r="G57" s="46"/>
      <c r="H57" s="47"/>
      <c r="I57" s="42"/>
      <c r="J57" s="45">
        <f>450*12*3+25*10*3</f>
        <v>16950</v>
      </c>
      <c r="K57" s="140">
        <f>J57/$J$28</f>
        <v>2.8308817229557852E-2</v>
      </c>
      <c r="L57" s="42"/>
      <c r="M57" s="42"/>
      <c r="N57" s="42"/>
      <c r="O57" s="42"/>
    </row>
    <row r="58" spans="1:16" ht="15.75" x14ac:dyDescent="0.25">
      <c r="A58" s="142" t="s">
        <v>105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0"/>
      <c r="L58" s="42"/>
      <c r="M58" s="42"/>
      <c r="N58" s="42"/>
      <c r="O58" s="42"/>
    </row>
    <row r="59" spans="1:16" ht="15.75" x14ac:dyDescent="0.25">
      <c r="A59" s="32" t="s">
        <v>71</v>
      </c>
      <c r="B59" s="8"/>
      <c r="C59" s="84">
        <v>5400</v>
      </c>
      <c r="D59" s="83">
        <f>3060+1650</f>
        <v>4710</v>
      </c>
      <c r="E59" s="73"/>
      <c r="F59" s="45">
        <v>14700</v>
      </c>
      <c r="G59" s="46">
        <v>14700</v>
      </c>
      <c r="H59" s="47">
        <v>3612.5</v>
      </c>
      <c r="I59" s="42"/>
      <c r="J59" s="45">
        <f>25*12*25+12*10*3</f>
        <v>7860</v>
      </c>
      <c r="K59" s="140">
        <f>J59/$J$28</f>
        <v>1.3127274538308243E-2</v>
      </c>
      <c r="L59" s="42"/>
      <c r="M59" s="42"/>
      <c r="N59" s="42"/>
      <c r="O59" s="42"/>
    </row>
    <row r="60" spans="1:16" ht="15.75" x14ac:dyDescent="0.25">
      <c r="A60" s="142" t="s">
        <v>106</v>
      </c>
      <c r="B60" s="142"/>
      <c r="C60" s="142"/>
      <c r="D60" s="142"/>
      <c r="E60" s="142"/>
      <c r="F60" s="142"/>
      <c r="G60" s="142"/>
      <c r="H60" s="142"/>
      <c r="I60" s="142"/>
      <c r="J60" s="142"/>
      <c r="K60" s="42"/>
      <c r="L60" s="42"/>
      <c r="M60" s="42"/>
      <c r="O60" s="42"/>
    </row>
    <row r="61" spans="1:16" ht="15.75" x14ac:dyDescent="0.25">
      <c r="A61" s="8" t="s">
        <v>34</v>
      </c>
      <c r="B61" s="8"/>
      <c r="C61" s="77">
        <v>2500</v>
      </c>
      <c r="D61" s="83">
        <v>817.35</v>
      </c>
      <c r="E61" s="73"/>
      <c r="F61" s="45">
        <v>3000</v>
      </c>
      <c r="G61" s="46">
        <v>3000</v>
      </c>
      <c r="H61" s="47">
        <v>598</v>
      </c>
      <c r="I61" s="42"/>
      <c r="J61" s="45">
        <v>10000</v>
      </c>
      <c r="K61" s="42"/>
      <c r="L61" s="42"/>
      <c r="M61" s="42"/>
      <c r="O61" s="42"/>
    </row>
    <row r="62" spans="1:16" ht="15.75" x14ac:dyDescent="0.25">
      <c r="A62" s="142" t="s">
        <v>107</v>
      </c>
      <c r="B62" s="142"/>
      <c r="C62" s="142"/>
      <c r="D62" s="142"/>
      <c r="E62" s="142"/>
      <c r="F62" s="142"/>
      <c r="G62" s="142"/>
      <c r="H62" s="142"/>
      <c r="I62" s="142"/>
      <c r="J62" s="142"/>
      <c r="K62" s="85"/>
      <c r="L62" s="42"/>
      <c r="M62" s="42"/>
      <c r="N62" s="42"/>
      <c r="O62" s="42"/>
      <c r="P62" s="139"/>
    </row>
    <row r="63" spans="1:16" ht="15.75" x14ac:dyDescent="0.25">
      <c r="A63" s="32" t="s">
        <v>35</v>
      </c>
      <c r="B63" s="8"/>
      <c r="C63" s="77">
        <v>500</v>
      </c>
      <c r="D63" s="83">
        <v>499.68</v>
      </c>
      <c r="E63" s="73"/>
      <c r="F63" s="45">
        <v>600</v>
      </c>
      <c r="G63" s="46">
        <v>600</v>
      </c>
      <c r="H63" s="47">
        <v>109.6</v>
      </c>
      <c r="I63" s="42"/>
      <c r="J63" s="45">
        <v>1200</v>
      </c>
      <c r="K63" s="42"/>
      <c r="L63" s="42"/>
      <c r="M63" s="42"/>
      <c r="N63" s="42"/>
      <c r="O63" s="42"/>
    </row>
    <row r="64" spans="1:16" ht="15.75" x14ac:dyDescent="0.25">
      <c r="A64" s="8" t="s">
        <v>36</v>
      </c>
      <c r="B64" s="8"/>
      <c r="C64" s="77">
        <v>500</v>
      </c>
      <c r="D64" s="83">
        <v>280.89999999999998</v>
      </c>
      <c r="E64" s="73"/>
      <c r="F64" s="45">
        <v>500</v>
      </c>
      <c r="G64" s="46">
        <v>500</v>
      </c>
      <c r="H64" s="47">
        <v>168.8</v>
      </c>
      <c r="I64" s="42"/>
      <c r="J64" s="45">
        <v>400</v>
      </c>
      <c r="K64" s="42"/>
      <c r="L64" s="42"/>
      <c r="M64" s="42"/>
      <c r="N64" s="42"/>
      <c r="O64" s="42"/>
    </row>
    <row r="65" spans="1:15" ht="15.75" x14ac:dyDescent="0.25">
      <c r="A65" s="32" t="s">
        <v>37</v>
      </c>
      <c r="B65" s="8"/>
      <c r="C65" s="77">
        <v>200</v>
      </c>
      <c r="D65" s="83">
        <v>173.27</v>
      </c>
      <c r="E65" s="73"/>
      <c r="F65" s="45">
        <v>200</v>
      </c>
      <c r="G65" s="46">
        <v>200</v>
      </c>
      <c r="H65" s="47">
        <v>84.4</v>
      </c>
      <c r="I65" s="42"/>
      <c r="J65" s="45">
        <v>200</v>
      </c>
      <c r="K65" s="42"/>
      <c r="L65" s="42"/>
      <c r="M65" s="42"/>
      <c r="N65" s="42"/>
      <c r="O65" s="42"/>
    </row>
    <row r="66" spans="1:15" ht="15.75" x14ac:dyDescent="0.25">
      <c r="A66" s="8" t="s">
        <v>38</v>
      </c>
      <c r="B66" s="8"/>
      <c r="C66" s="77">
        <v>150</v>
      </c>
      <c r="D66" s="83">
        <v>123.88</v>
      </c>
      <c r="E66" s="73"/>
      <c r="F66" s="45">
        <v>150</v>
      </c>
      <c r="G66" s="46">
        <v>150</v>
      </c>
      <c r="H66" s="47">
        <v>104.41</v>
      </c>
      <c r="I66" s="42"/>
      <c r="J66" s="45">
        <v>150</v>
      </c>
      <c r="K66" s="42"/>
      <c r="L66" s="42"/>
      <c r="M66" s="42"/>
      <c r="N66" s="42"/>
      <c r="O66" s="42"/>
    </row>
    <row r="67" spans="1:15" ht="15.75" x14ac:dyDescent="0.25">
      <c r="A67" s="8" t="s">
        <v>39</v>
      </c>
      <c r="B67" s="8"/>
      <c r="C67" s="77">
        <v>400</v>
      </c>
      <c r="D67" s="83">
        <v>78.12</v>
      </c>
      <c r="E67" s="73"/>
      <c r="F67" s="45">
        <v>1000</v>
      </c>
      <c r="G67" s="46">
        <v>1000</v>
      </c>
      <c r="H67" s="47">
        <v>0</v>
      </c>
      <c r="I67" s="42"/>
      <c r="J67" s="45">
        <v>1000</v>
      </c>
      <c r="K67" s="42"/>
      <c r="L67" s="42"/>
      <c r="M67" s="42"/>
      <c r="N67" s="42"/>
      <c r="O67" s="42"/>
    </row>
    <row r="68" spans="1:15" ht="15.75" x14ac:dyDescent="0.25">
      <c r="A68" s="32" t="s">
        <v>40</v>
      </c>
      <c r="B68" s="8"/>
      <c r="C68" s="77">
        <v>1000</v>
      </c>
      <c r="D68" s="83">
        <v>815.1</v>
      </c>
      <c r="E68" s="73"/>
      <c r="F68" s="45">
        <v>3000</v>
      </c>
      <c r="G68" s="46">
        <v>3000</v>
      </c>
      <c r="H68" s="47">
        <v>822.8</v>
      </c>
      <c r="I68" s="42"/>
      <c r="J68" s="45">
        <v>1500</v>
      </c>
      <c r="K68" s="42"/>
      <c r="L68" s="42"/>
      <c r="M68" s="42"/>
      <c r="N68" s="42"/>
      <c r="O68" s="42"/>
    </row>
    <row r="69" spans="1:15" ht="15.75" x14ac:dyDescent="0.25">
      <c r="A69" s="8" t="s">
        <v>41</v>
      </c>
      <c r="B69" s="8"/>
      <c r="C69" s="77">
        <v>1500</v>
      </c>
      <c r="D69" s="83">
        <v>807.14</v>
      </c>
      <c r="E69" s="73"/>
      <c r="F69" s="45">
        <v>0</v>
      </c>
      <c r="G69" s="46">
        <v>0</v>
      </c>
      <c r="H69" s="47">
        <v>0</v>
      </c>
      <c r="I69" s="42"/>
      <c r="J69" s="45">
        <v>0</v>
      </c>
      <c r="K69" s="42"/>
      <c r="L69" s="42"/>
      <c r="M69" s="42"/>
      <c r="N69" s="42"/>
      <c r="O69" s="42"/>
    </row>
    <row r="70" spans="1:15" ht="15.75" x14ac:dyDescent="0.25">
      <c r="A70" s="32" t="s">
        <v>42</v>
      </c>
      <c r="B70" s="8"/>
      <c r="C70" s="86">
        <v>1200</v>
      </c>
      <c r="D70" s="83">
        <v>1200</v>
      </c>
      <c r="E70" s="73"/>
      <c r="F70" s="45">
        <v>1200</v>
      </c>
      <c r="G70" s="46">
        <v>1200</v>
      </c>
      <c r="H70" s="47">
        <v>800</v>
      </c>
      <c r="I70" s="42"/>
      <c r="J70" s="45">
        <v>1200</v>
      </c>
      <c r="K70" s="42"/>
      <c r="L70" s="42"/>
      <c r="M70" s="42"/>
      <c r="N70" s="42"/>
      <c r="O70" s="42"/>
    </row>
    <row r="71" spans="1:15" ht="15.75" x14ac:dyDescent="0.25">
      <c r="A71" s="32" t="s">
        <v>43</v>
      </c>
      <c r="B71" s="8"/>
      <c r="C71" s="86">
        <v>2000</v>
      </c>
      <c r="D71" s="83">
        <v>0</v>
      </c>
      <c r="E71" s="73"/>
      <c r="F71" s="45">
        <v>2000</v>
      </c>
      <c r="G71" s="46">
        <v>2000</v>
      </c>
      <c r="H71" s="47">
        <v>0</v>
      </c>
      <c r="I71" s="42"/>
      <c r="J71" s="45">
        <v>2000</v>
      </c>
      <c r="K71" s="42"/>
      <c r="L71" s="42"/>
      <c r="M71" s="42"/>
      <c r="N71" s="42"/>
      <c r="O71" s="42"/>
    </row>
    <row r="72" spans="1:15" ht="15.75" x14ac:dyDescent="0.25">
      <c r="A72" s="8" t="s">
        <v>44</v>
      </c>
      <c r="B72" s="8"/>
      <c r="C72" s="77">
        <v>650</v>
      </c>
      <c r="D72" s="83">
        <v>188.8</v>
      </c>
      <c r="E72" s="73"/>
      <c r="F72" s="45">
        <v>650</v>
      </c>
      <c r="G72" s="46">
        <v>650</v>
      </c>
      <c r="H72" s="47">
        <v>141.09</v>
      </c>
      <c r="I72" s="42"/>
      <c r="J72" s="45">
        <v>650</v>
      </c>
      <c r="K72" s="42"/>
      <c r="L72" s="42"/>
      <c r="M72" s="42"/>
      <c r="N72" s="42"/>
      <c r="O72" s="42"/>
    </row>
    <row r="73" spans="1:15" ht="15.75" x14ac:dyDescent="0.25">
      <c r="A73" s="8" t="s">
        <v>45</v>
      </c>
      <c r="B73" s="8"/>
      <c r="C73" s="80"/>
      <c r="D73" s="87"/>
      <c r="E73" s="73"/>
      <c r="F73" s="36">
        <v>2250</v>
      </c>
      <c r="G73" s="37">
        <v>2250</v>
      </c>
      <c r="H73" s="38">
        <v>558.62</v>
      </c>
      <c r="I73" s="42"/>
      <c r="J73" s="36">
        <v>1500</v>
      </c>
      <c r="K73" s="42"/>
      <c r="L73" s="42"/>
      <c r="M73" s="42"/>
      <c r="N73" s="42"/>
      <c r="O73" s="42"/>
    </row>
    <row r="74" spans="1:15" ht="15.75" x14ac:dyDescent="0.25">
      <c r="A74" s="8"/>
      <c r="B74" s="8"/>
      <c r="C74" s="74"/>
      <c r="D74" s="75"/>
      <c r="E74" s="73"/>
      <c r="F74" s="35"/>
      <c r="G74" s="46"/>
      <c r="H74" s="35"/>
      <c r="I74" s="42"/>
      <c r="J74" s="35"/>
      <c r="K74" s="140"/>
      <c r="L74" s="42"/>
      <c r="M74" s="42"/>
      <c r="N74" s="42"/>
      <c r="O74" s="42"/>
    </row>
    <row r="75" spans="1:15" ht="15.75" x14ac:dyDescent="0.25">
      <c r="A75" s="24" t="s">
        <v>46</v>
      </c>
      <c r="B75" s="69"/>
      <c r="C75" s="115">
        <f>SUM(C76:C90)</f>
        <v>121650</v>
      </c>
      <c r="D75" s="115">
        <f>SUM(D76:D90)</f>
        <v>79940.600000000006</v>
      </c>
      <c r="E75" s="76"/>
      <c r="F75" s="115">
        <f>SUM(F76:F90)</f>
        <v>89650</v>
      </c>
      <c r="G75" s="115">
        <f>SUM(G76:G90)</f>
        <v>102650</v>
      </c>
      <c r="H75" s="115">
        <f>SUM(H76:H90)</f>
        <v>26295.72</v>
      </c>
      <c r="I75" s="42"/>
      <c r="J75" s="115">
        <f>SUM(J76:J90)</f>
        <v>219850</v>
      </c>
      <c r="K75" s="140">
        <f>J75/$J$28</f>
        <v>0.36717955562939786</v>
      </c>
      <c r="L75" s="42"/>
      <c r="M75" s="42"/>
      <c r="N75" s="156"/>
      <c r="O75" s="42"/>
    </row>
    <row r="76" spans="1:15" ht="15.75" x14ac:dyDescent="0.25">
      <c r="A76" s="8" t="s">
        <v>17</v>
      </c>
      <c r="B76" s="8"/>
      <c r="C76" s="77">
        <v>4000</v>
      </c>
      <c r="D76" s="83">
        <v>3400</v>
      </c>
      <c r="E76" s="73"/>
      <c r="F76" s="45">
        <v>5000</v>
      </c>
      <c r="G76" s="46">
        <v>10000</v>
      </c>
      <c r="H76" s="47">
        <f>4150+2.95+2.95</f>
        <v>4155.8999999999996</v>
      </c>
      <c r="I76" s="42"/>
      <c r="J76" s="45">
        <v>10000</v>
      </c>
      <c r="K76" s="42"/>
      <c r="L76" s="42"/>
      <c r="M76" s="42"/>
      <c r="N76" s="42"/>
      <c r="O76" s="42"/>
    </row>
    <row r="77" spans="1:15" ht="15.75" x14ac:dyDescent="0.25">
      <c r="A77" s="8" t="s">
        <v>64</v>
      </c>
      <c r="B77" s="8"/>
      <c r="C77" s="77">
        <v>5000</v>
      </c>
      <c r="D77" s="83">
        <v>1774.06</v>
      </c>
      <c r="E77" s="73"/>
      <c r="F77" s="45">
        <v>8000</v>
      </c>
      <c r="G77" s="46">
        <v>8000</v>
      </c>
      <c r="H77" s="47">
        <v>0</v>
      </c>
      <c r="I77" s="42"/>
      <c r="J77" s="45">
        <v>10000</v>
      </c>
      <c r="K77" s="42"/>
      <c r="L77" s="42"/>
      <c r="M77" s="42"/>
      <c r="N77" s="42"/>
      <c r="O77" s="42"/>
    </row>
    <row r="78" spans="1:15" ht="15.75" x14ac:dyDescent="0.25">
      <c r="A78" s="142" t="s">
        <v>114</v>
      </c>
      <c r="B78" s="142"/>
      <c r="C78" s="142"/>
      <c r="D78" s="142"/>
      <c r="E78" s="142"/>
      <c r="F78" s="142"/>
      <c r="G78" s="142"/>
      <c r="H78" s="142"/>
      <c r="I78" s="142"/>
      <c r="J78" s="142"/>
      <c r="K78" s="42"/>
      <c r="L78" s="42"/>
      <c r="M78" s="42"/>
      <c r="N78" s="42"/>
      <c r="O78" s="42"/>
    </row>
    <row r="79" spans="1:15" ht="15.75" x14ac:dyDescent="0.25">
      <c r="A79" s="8" t="s">
        <v>98</v>
      </c>
      <c r="B79" s="8"/>
      <c r="C79" s="77"/>
      <c r="D79" s="83"/>
      <c r="E79" s="73"/>
      <c r="F79" s="45"/>
      <c r="G79" s="46"/>
      <c r="H79" s="47"/>
      <c r="I79" s="42"/>
      <c r="J79" s="45">
        <f>2100*12</f>
        <v>25200</v>
      </c>
      <c r="K79" s="42"/>
      <c r="L79" s="42"/>
      <c r="M79" s="42"/>
      <c r="N79" s="42"/>
      <c r="O79" s="42"/>
    </row>
    <row r="80" spans="1:15" ht="15.75" x14ac:dyDescent="0.25">
      <c r="A80" s="142" t="s">
        <v>113</v>
      </c>
      <c r="B80" s="142"/>
      <c r="C80" s="142"/>
      <c r="D80" s="142"/>
      <c r="E80" s="142"/>
      <c r="F80" s="142"/>
      <c r="G80" s="142"/>
      <c r="H80" s="142"/>
      <c r="I80" s="142"/>
      <c r="J80" s="142"/>
      <c r="K80" s="42"/>
      <c r="L80" s="42"/>
      <c r="M80" s="42"/>
      <c r="N80" s="42"/>
      <c r="O80" s="42"/>
    </row>
    <row r="81" spans="1:1022" ht="15.75" x14ac:dyDescent="0.25">
      <c r="A81" s="8" t="s">
        <v>61</v>
      </c>
      <c r="B81" s="8"/>
      <c r="C81" s="77">
        <v>4000</v>
      </c>
      <c r="D81" s="83">
        <f>1459.03+431.69</f>
        <v>1890.72</v>
      </c>
      <c r="E81" s="73"/>
      <c r="F81" s="45">
        <v>6000</v>
      </c>
      <c r="G81" s="46">
        <v>14000</v>
      </c>
      <c r="H81" s="47">
        <f>2043.75+35</f>
        <v>2078.75</v>
      </c>
      <c r="I81" s="42"/>
      <c r="J81" s="45">
        <v>12000</v>
      </c>
      <c r="K81" s="42"/>
      <c r="L81" s="42"/>
      <c r="M81" s="42"/>
      <c r="N81" s="42"/>
      <c r="O81" s="42"/>
    </row>
    <row r="82" spans="1:1022" ht="15.75" x14ac:dyDescent="0.25">
      <c r="A82" s="8" t="s">
        <v>47</v>
      </c>
      <c r="B82" s="8"/>
      <c r="C82" s="86">
        <v>2000</v>
      </c>
      <c r="D82" s="83">
        <v>390</v>
      </c>
      <c r="E82" s="73"/>
      <c r="F82" s="45">
        <v>0</v>
      </c>
      <c r="G82" s="46">
        <v>0</v>
      </c>
      <c r="H82" s="47">
        <v>0</v>
      </c>
      <c r="I82" s="42"/>
      <c r="J82" s="45">
        <v>0</v>
      </c>
      <c r="K82" s="42"/>
      <c r="L82" s="42"/>
      <c r="M82" s="42"/>
      <c r="N82" s="42"/>
      <c r="O82" s="42"/>
    </row>
    <row r="83" spans="1:1022" ht="15.75" x14ac:dyDescent="0.25">
      <c r="A83" s="8" t="s">
        <v>48</v>
      </c>
      <c r="B83" s="8"/>
      <c r="C83" s="86">
        <v>5000</v>
      </c>
      <c r="D83" s="83">
        <v>2499</v>
      </c>
      <c r="E83" s="88"/>
      <c r="F83" s="45">
        <v>4000</v>
      </c>
      <c r="G83" s="46">
        <v>4000</v>
      </c>
      <c r="H83" s="47">
        <v>0</v>
      </c>
      <c r="I83" s="42"/>
      <c r="J83" s="45">
        <v>4000</v>
      </c>
      <c r="K83" s="42"/>
      <c r="L83" s="42"/>
      <c r="M83" s="42"/>
      <c r="N83" s="42"/>
      <c r="O83" s="42"/>
    </row>
    <row r="84" spans="1:1022" ht="15.75" x14ac:dyDescent="0.25">
      <c r="A84" s="8" t="s">
        <v>49</v>
      </c>
      <c r="B84" s="8"/>
      <c r="C84" s="77">
        <v>500</v>
      </c>
      <c r="D84" s="83">
        <v>0</v>
      </c>
      <c r="E84" s="88"/>
      <c r="F84" s="45">
        <v>500</v>
      </c>
      <c r="G84" s="46">
        <v>500</v>
      </c>
      <c r="H84" s="89">
        <v>0</v>
      </c>
      <c r="I84" s="42"/>
      <c r="J84" s="45">
        <v>500</v>
      </c>
      <c r="K84" s="90"/>
      <c r="L84" s="42"/>
      <c r="M84" s="42"/>
      <c r="N84" s="42"/>
      <c r="O84" s="42"/>
    </row>
    <row r="85" spans="1:1022" ht="15.75" x14ac:dyDescent="0.25">
      <c r="A85" s="8" t="s">
        <v>50</v>
      </c>
      <c r="B85" s="8"/>
      <c r="C85" s="77">
        <v>35000</v>
      </c>
      <c r="D85" s="83">
        <f>C85-2702.48</f>
        <v>32297.52</v>
      </c>
      <c r="E85" s="88"/>
      <c r="F85" s="45">
        <v>0</v>
      </c>
      <c r="G85" s="46">
        <v>0</v>
      </c>
      <c r="H85" s="89">
        <v>0</v>
      </c>
      <c r="I85" s="42"/>
      <c r="J85" s="45">
        <v>0</v>
      </c>
      <c r="K85" s="90"/>
      <c r="L85" s="42"/>
      <c r="M85" s="42"/>
      <c r="N85" s="42"/>
      <c r="O85" s="42"/>
    </row>
    <row r="86" spans="1:1022" ht="15.75" x14ac:dyDescent="0.25">
      <c r="A86" s="8" t="s">
        <v>51</v>
      </c>
      <c r="B86" s="8" t="s">
        <v>52</v>
      </c>
      <c r="C86" s="86">
        <v>32000</v>
      </c>
      <c r="D86" s="83">
        <v>17174.05</v>
      </c>
      <c r="E86" s="73"/>
      <c r="F86" s="45">
        <v>32000</v>
      </c>
      <c r="G86" s="46">
        <v>32000</v>
      </c>
      <c r="H86" s="47">
        <v>14471.07</v>
      </c>
      <c r="I86" s="91"/>
      <c r="J86" s="45">
        <v>32000</v>
      </c>
      <c r="K86" s="42"/>
      <c r="L86" s="42"/>
      <c r="M86" s="42"/>
      <c r="N86" s="42"/>
      <c r="O86" s="42"/>
    </row>
    <row r="87" spans="1:1022" ht="15.75" x14ac:dyDescent="0.25">
      <c r="A87" s="8"/>
      <c r="B87" s="8" t="s">
        <v>53</v>
      </c>
      <c r="C87" s="77">
        <v>20000</v>
      </c>
      <c r="D87" s="83">
        <v>9104.85</v>
      </c>
      <c r="E87" s="73"/>
      <c r="F87" s="45">
        <v>20000</v>
      </c>
      <c r="G87" s="46">
        <v>20000</v>
      </c>
      <c r="H87" s="47">
        <v>0</v>
      </c>
      <c r="I87" s="91"/>
      <c r="J87" s="45">
        <v>24000</v>
      </c>
      <c r="K87" s="42"/>
      <c r="L87" s="42"/>
      <c r="M87" s="42"/>
      <c r="N87" s="155"/>
      <c r="O87" s="42"/>
    </row>
    <row r="88" spans="1:1022" ht="15.75" x14ac:dyDescent="0.25">
      <c r="A88" s="8" t="s">
        <v>54</v>
      </c>
      <c r="B88" s="8"/>
      <c r="C88" s="77">
        <v>13500</v>
      </c>
      <c r="D88" s="83">
        <v>11410.4</v>
      </c>
      <c r="E88" s="73"/>
      <c r="F88" s="45">
        <v>13500</v>
      </c>
      <c r="G88" s="46">
        <v>13500</v>
      </c>
      <c r="H88" s="47">
        <v>5590</v>
      </c>
      <c r="I88" s="91"/>
      <c r="J88" s="45">
        <f>13500+1500*12</f>
        <v>31500</v>
      </c>
      <c r="K88" s="42"/>
      <c r="L88" s="42"/>
      <c r="M88" s="42"/>
      <c r="N88" s="42"/>
      <c r="O88" s="42"/>
    </row>
    <row r="89" spans="1:1022" ht="15.75" x14ac:dyDescent="0.25">
      <c r="A89" s="8" t="s">
        <v>117</v>
      </c>
      <c r="B89" s="8"/>
      <c r="C89" s="77"/>
      <c r="D89" s="83"/>
      <c r="E89" s="73"/>
      <c r="F89" s="45"/>
      <c r="G89" s="46"/>
      <c r="H89" s="47"/>
      <c r="I89" s="42"/>
      <c r="J89" s="45">
        <v>70000</v>
      </c>
      <c r="K89" s="42"/>
      <c r="L89" s="42"/>
      <c r="M89" s="42"/>
      <c r="N89" s="42"/>
      <c r="O89" s="42"/>
    </row>
    <row r="90" spans="1:1022" ht="15.75" x14ac:dyDescent="0.25">
      <c r="A90" s="8" t="s">
        <v>55</v>
      </c>
      <c r="B90" s="8"/>
      <c r="C90" s="80">
        <v>650</v>
      </c>
      <c r="D90" s="87">
        <v>0</v>
      </c>
      <c r="E90" s="73"/>
      <c r="F90" s="36">
        <v>650</v>
      </c>
      <c r="G90" s="37">
        <v>650</v>
      </c>
      <c r="H90" s="38">
        <v>0</v>
      </c>
      <c r="I90" s="91"/>
      <c r="J90" s="36">
        <v>650</v>
      </c>
      <c r="K90" s="42"/>
      <c r="L90" s="42"/>
      <c r="M90" s="42"/>
      <c r="N90" s="42"/>
      <c r="O90" s="42"/>
    </row>
    <row r="91" spans="1:1022" ht="15.75" x14ac:dyDescent="0.25">
      <c r="A91" s="8"/>
      <c r="B91" s="92"/>
      <c r="C91" s="39"/>
      <c r="D91" s="65"/>
      <c r="E91" s="35"/>
      <c r="F91" s="35"/>
      <c r="G91" s="46"/>
      <c r="H91" s="35"/>
      <c r="I91" s="91"/>
      <c r="J91" s="35"/>
      <c r="K91" s="42"/>
      <c r="L91" s="42"/>
      <c r="M91" s="42"/>
      <c r="N91" s="42"/>
      <c r="O91" s="42"/>
    </row>
    <row r="92" spans="1:1022" ht="15.75" x14ac:dyDescent="0.25">
      <c r="A92" s="57" t="s">
        <v>120</v>
      </c>
      <c r="B92" s="69"/>
      <c r="C92" s="93">
        <f>C75+C54+C41+C37+C31</f>
        <v>336250</v>
      </c>
      <c r="D92" s="93">
        <f>D75+D54+D41+D37+D31</f>
        <v>197479.18000000002</v>
      </c>
      <c r="E92" s="61"/>
      <c r="F92" s="93">
        <f>F75+F54+F41+F37+F31</f>
        <v>314651.07</v>
      </c>
      <c r="G92" s="93">
        <f>G75+G54+G41+G37+G31</f>
        <v>351947.39</v>
      </c>
      <c r="H92" s="93">
        <f>H75+H54+H41+H37+H31</f>
        <v>124074.76</v>
      </c>
      <c r="I92" s="91"/>
      <c r="J92" s="93">
        <f>J75+J54+J41+J37+J31</f>
        <v>596126.22</v>
      </c>
      <c r="K92" s="140">
        <f>J92/$J$28</f>
        <v>0.99561228364172238</v>
      </c>
      <c r="L92" s="42"/>
      <c r="M92" s="42"/>
      <c r="N92" s="42"/>
      <c r="O92" s="42"/>
    </row>
    <row r="93" spans="1:1022" ht="15.75" x14ac:dyDescent="0.25">
      <c r="A93" s="8"/>
      <c r="B93" s="94"/>
      <c r="C93" s="39"/>
      <c r="D93" s="95"/>
      <c r="E93" s="35"/>
      <c r="F93" s="35"/>
      <c r="G93" s="46"/>
      <c r="H93" s="35"/>
      <c r="I93" s="91"/>
      <c r="J93" s="35"/>
      <c r="K93" s="42"/>
      <c r="L93" s="42"/>
      <c r="M93" s="42"/>
      <c r="N93" s="42"/>
      <c r="O93" s="42"/>
    </row>
    <row r="94" spans="1:1022" ht="15.75" x14ac:dyDescent="0.25">
      <c r="A94" s="134" t="s">
        <v>56</v>
      </c>
      <c r="B94" s="153"/>
      <c r="C94" s="132">
        <v>30049.23</v>
      </c>
      <c r="D94" s="129">
        <f>SUM(D95:D98)</f>
        <v>185065.06</v>
      </c>
      <c r="E94" s="96"/>
      <c r="F94" s="127">
        <f>SUM(F95:F98)</f>
        <v>21875.96</v>
      </c>
      <c r="G94" s="131">
        <f>SUM(G95:G98)</f>
        <v>19845.169999999984</v>
      </c>
      <c r="H94" s="130">
        <f>SUM(H95:H98)</f>
        <v>147972.46</v>
      </c>
      <c r="I94" s="91"/>
      <c r="J94" s="130">
        <f>SUM(J95:J98)</f>
        <v>2627.1600000000003</v>
      </c>
      <c r="K94" s="140">
        <f>J94/$J$28</f>
        <v>4.3877163582775941E-3</v>
      </c>
      <c r="L94" s="42"/>
      <c r="M94" s="42"/>
      <c r="N94" s="42"/>
      <c r="O94" s="42"/>
    </row>
    <row r="95" spans="1:1022" ht="15.95" customHeight="1" x14ac:dyDescent="0.3">
      <c r="A95" s="32" t="s">
        <v>57</v>
      </c>
      <c r="B95" s="92"/>
      <c r="C95" s="43">
        <v>30049.23</v>
      </c>
      <c r="D95" s="97"/>
      <c r="E95" s="35"/>
      <c r="F95" s="45">
        <v>21875.96</v>
      </c>
      <c r="G95" s="98">
        <f>G28-G92</f>
        <v>19845.169999999984</v>
      </c>
      <c r="H95" s="104">
        <v>0</v>
      </c>
      <c r="I95" s="99"/>
      <c r="J95" s="45">
        <f>24.9+2602.26</f>
        <v>2627.1600000000003</v>
      </c>
      <c r="K95" s="42"/>
      <c r="L95" s="42"/>
      <c r="M95" s="42"/>
      <c r="N95" s="42"/>
      <c r="O95" s="42"/>
    </row>
    <row r="96" spans="1:1022" s="100" customFormat="1" ht="17.25" x14ac:dyDescent="0.3">
      <c r="A96" s="32" t="s">
        <v>59</v>
      </c>
      <c r="B96" s="92"/>
      <c r="C96" s="101"/>
      <c r="D96" s="102">
        <f>160036.71-D97</f>
        <v>157411.81</v>
      </c>
      <c r="E96" s="35"/>
      <c r="F96" s="103">
        <v>0</v>
      </c>
      <c r="G96" s="104"/>
      <c r="H96" s="47">
        <f>122944.11-H97</f>
        <v>120319.21</v>
      </c>
      <c r="I96" s="99"/>
      <c r="J96" s="103">
        <v>0</v>
      </c>
      <c r="K96" s="99"/>
      <c r="L96" s="99"/>
      <c r="M96" s="99"/>
      <c r="N96" s="99"/>
      <c r="O96" s="99"/>
      <c r="AMG96"/>
      <c r="AMH96"/>
    </row>
    <row r="97" spans="1:15" ht="17.25" x14ac:dyDescent="0.3">
      <c r="A97" s="32" t="s">
        <v>9</v>
      </c>
      <c r="B97" s="8"/>
      <c r="C97" s="101"/>
      <c r="D97" s="105">
        <v>2624.9</v>
      </c>
      <c r="E97" s="19"/>
      <c r="F97" s="106"/>
      <c r="G97" s="104"/>
      <c r="H97" s="47">
        <v>2624.9</v>
      </c>
      <c r="I97" s="42"/>
      <c r="J97" s="106"/>
      <c r="K97" s="99"/>
      <c r="L97" s="99"/>
      <c r="M97" s="99"/>
      <c r="N97" s="99"/>
      <c r="O97" s="99"/>
    </row>
    <row r="98" spans="1:15" ht="15.75" x14ac:dyDescent="0.25">
      <c r="A98" s="32" t="s">
        <v>60</v>
      </c>
      <c r="B98" s="8"/>
      <c r="C98" s="107"/>
      <c r="D98" s="108">
        <v>25028.35</v>
      </c>
      <c r="E98" s="35"/>
      <c r="F98" s="109">
        <v>0</v>
      </c>
      <c r="G98" s="110"/>
      <c r="H98" s="38">
        <v>25028.35</v>
      </c>
      <c r="I98" s="42"/>
      <c r="J98" s="109">
        <v>0</v>
      </c>
      <c r="K98" s="42"/>
      <c r="L98" s="42"/>
      <c r="M98" s="42"/>
      <c r="N98" s="42"/>
      <c r="O98" s="42"/>
    </row>
    <row r="99" spans="1:15" ht="15.75" x14ac:dyDescent="0.25">
      <c r="A99" s="111"/>
      <c r="B99" s="92"/>
      <c r="C99" s="46"/>
      <c r="D99" s="35"/>
      <c r="E99" s="35"/>
      <c r="F99" s="35"/>
      <c r="G99" s="98"/>
      <c r="H99" s="35"/>
      <c r="I99" s="42"/>
      <c r="J99" s="35"/>
      <c r="K99" s="42"/>
      <c r="L99" s="42"/>
      <c r="M99" s="42"/>
      <c r="N99" s="42"/>
      <c r="O99" s="42"/>
    </row>
    <row r="100" spans="1:15" ht="15.75" x14ac:dyDescent="0.25">
      <c r="A100" s="112" t="s">
        <v>121</v>
      </c>
      <c r="B100" s="69"/>
      <c r="C100" s="113">
        <f>C92+C94</f>
        <v>366299.23</v>
      </c>
      <c r="D100" s="113">
        <f>D92+D94</f>
        <v>382544.24</v>
      </c>
      <c r="E100" s="70"/>
      <c r="F100" s="113">
        <f>F92+F94</f>
        <v>336527.03</v>
      </c>
      <c r="G100" s="113">
        <f>G92+G94</f>
        <v>371792.56</v>
      </c>
      <c r="H100" s="113">
        <f>H92+H94</f>
        <v>272047.21999999997</v>
      </c>
      <c r="I100" s="42"/>
      <c r="J100" s="113">
        <f>J92+J94</f>
        <v>598753.38</v>
      </c>
      <c r="K100" s="42"/>
      <c r="L100" s="42"/>
      <c r="M100" s="42"/>
      <c r="N100" s="42"/>
      <c r="O100" s="42"/>
    </row>
    <row r="101" spans="1:15" ht="15.75" x14ac:dyDescent="0.25">
      <c r="A101" s="32" t="s">
        <v>58</v>
      </c>
      <c r="B101" s="8"/>
      <c r="C101" s="35">
        <f>SUM(C28-C100)</f>
        <v>0</v>
      </c>
      <c r="D101" s="35">
        <f>SUM(D28-D100)</f>
        <v>0</v>
      </c>
      <c r="E101" s="35"/>
      <c r="F101" s="35">
        <f>SUM(F28-F100)</f>
        <v>0</v>
      </c>
      <c r="G101" s="35">
        <f>SUM(G28-G100)</f>
        <v>0</v>
      </c>
      <c r="H101" s="35">
        <f>SUM(H28-H100)</f>
        <v>0</v>
      </c>
      <c r="I101" s="42"/>
      <c r="J101" s="35">
        <f>SUM(J28-J100)</f>
        <v>0</v>
      </c>
      <c r="K101" s="42"/>
      <c r="L101" s="42"/>
      <c r="M101" s="42"/>
      <c r="N101" s="42"/>
      <c r="O101" s="42"/>
    </row>
    <row r="102" spans="1:15" x14ac:dyDescent="0.25">
      <c r="K102" s="42"/>
      <c r="L102" s="42"/>
      <c r="M102" s="42"/>
      <c r="N102" s="42"/>
      <c r="O102" s="42"/>
    </row>
    <row r="103" spans="1:15" x14ac:dyDescent="0.25">
      <c r="A103" t="s">
        <v>74</v>
      </c>
    </row>
    <row r="104" spans="1:15" x14ac:dyDescent="0.25">
      <c r="A104" t="s">
        <v>75</v>
      </c>
    </row>
    <row r="105" spans="1:15" x14ac:dyDescent="0.25">
      <c r="A105" t="s">
        <v>76</v>
      </c>
    </row>
    <row r="106" spans="1:15" x14ac:dyDescent="0.25">
      <c r="A106" t="s">
        <v>77</v>
      </c>
    </row>
    <row r="107" spans="1:15" x14ac:dyDescent="0.25">
      <c r="A107" t="s">
        <v>78</v>
      </c>
    </row>
    <row r="108" spans="1:15" x14ac:dyDescent="0.25">
      <c r="A108" t="s">
        <v>79</v>
      </c>
    </row>
    <row r="109" spans="1:15" x14ac:dyDescent="0.25">
      <c r="A109" t="s">
        <v>102</v>
      </c>
    </row>
    <row r="112" spans="1:15" x14ac:dyDescent="0.25">
      <c r="A112" s="54" t="s">
        <v>89</v>
      </c>
      <c r="B112" s="54"/>
      <c r="C112" s="143">
        <f>J18+J20+J21</f>
        <v>406000</v>
      </c>
      <c r="D112" t="s">
        <v>90</v>
      </c>
      <c r="E112" s="54"/>
      <c r="F112" s="54"/>
      <c r="G112" s="54" t="s">
        <v>115</v>
      </c>
      <c r="H112" s="157">
        <f>C113/C112</f>
        <v>0.79064039408866993</v>
      </c>
    </row>
    <row r="113" spans="1:8" x14ac:dyDescent="0.25">
      <c r="A113" t="s">
        <v>91</v>
      </c>
      <c r="C113" s="137">
        <f>J38+J39+J88+J70+J55+J84+J79+J89</f>
        <v>321000</v>
      </c>
      <c r="D113" t="s">
        <v>116</v>
      </c>
      <c r="E113"/>
      <c r="G113"/>
    </row>
    <row r="114" spans="1:8" x14ac:dyDescent="0.25">
      <c r="A114" t="s">
        <v>118</v>
      </c>
      <c r="C114" s="152">
        <f>C112-C113</f>
        <v>85000</v>
      </c>
      <c r="E114"/>
      <c r="G114"/>
    </row>
    <row r="115" spans="1:8" x14ac:dyDescent="0.25">
      <c r="C115" s="137"/>
      <c r="E115"/>
      <c r="G115"/>
    </row>
    <row r="116" spans="1:8" x14ac:dyDescent="0.25">
      <c r="A116" s="67"/>
      <c r="B116" s="68"/>
      <c r="D116" s="68"/>
      <c r="E116" s="68"/>
      <c r="F116" s="68"/>
      <c r="G116" s="68"/>
      <c r="H116" s="68"/>
    </row>
  </sheetData>
  <mergeCells count="21">
    <mergeCell ref="A80:J80"/>
    <mergeCell ref="A58:J58"/>
    <mergeCell ref="A60:J60"/>
    <mergeCell ref="A62:J62"/>
    <mergeCell ref="A35:J35"/>
    <mergeCell ref="A78:J78"/>
    <mergeCell ref="A52:J52"/>
    <mergeCell ref="A56:J56"/>
    <mergeCell ref="A94:B94"/>
    <mergeCell ref="C3:D3"/>
    <mergeCell ref="F3:H3"/>
    <mergeCell ref="A8:B8"/>
    <mergeCell ref="A12:B12"/>
    <mergeCell ref="A9:J9"/>
    <mergeCell ref="A11:J11"/>
    <mergeCell ref="A13:J13"/>
    <mergeCell ref="A17:J17"/>
    <mergeCell ref="A19:J19"/>
    <mergeCell ref="A22:J22"/>
    <mergeCell ref="A24:J24"/>
    <mergeCell ref="A26:J26"/>
  </mergeCells>
  <conditionalFormatting sqref="M15:Q19">
    <cfRule type="colorScale" priority="2">
      <colorScale>
        <cfvo type="num" val="$P$13"/>
        <cfvo type="num" val="$Q$13"/>
        <cfvo type="num" val="4.1219999999999999"/>
        <color rgb="FFF8696B"/>
        <color rgb="FFFFEB84"/>
        <color rgb="FF63BE7B"/>
      </colorScale>
    </cfRule>
  </conditionalFormatting>
  <pageMargins left="0.70833333333333304" right="0.70833333333333304" top="0.78749999999999998" bottom="0.78749999999999998" header="0.51180555555555496" footer="0.51180555555555496"/>
  <pageSetup paperSize="9" scale="3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Boehm, Carmen</dc:creator>
  <dc:description/>
  <cp:lastModifiedBy>Kris Jürgens</cp:lastModifiedBy>
  <cp:revision>9</cp:revision>
  <cp:lastPrinted>2018-10-15T12:07:17Z</cp:lastPrinted>
  <dcterms:created xsi:type="dcterms:W3CDTF">2014-07-17T12:19:25Z</dcterms:created>
  <dcterms:modified xsi:type="dcterms:W3CDTF">2018-12-13T15:08:51Z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